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ccart\Desktop\FS Web\"/>
    </mc:Choice>
  </mc:AlternateContent>
  <xr:revisionPtr revIDLastSave="0" documentId="13_ncr:1_{987E0501-BE04-4107-B9BD-152E9776D645}" xr6:coauthVersionLast="47" xr6:coauthVersionMax="47" xr10:uidLastSave="{00000000-0000-0000-0000-000000000000}"/>
  <bookViews>
    <workbookView xWindow="1170" yWindow="1170" windowWidth="26955" windowHeight="13440" xr2:uid="{491EF9CB-4E44-44B2-B5ED-7CA57C13D73C}"/>
  </bookViews>
  <sheets>
    <sheet name="Instructions" sheetId="4" r:id="rId1"/>
    <sheet name="About" sheetId="15" r:id="rId2"/>
    <sheet name="Summary" sheetId="14" r:id="rId3"/>
    <sheet name="SF_1_LD" sheetId="16" r:id="rId4"/>
    <sheet name="SF_2_HD" sheetId="17" r:id="rId5"/>
    <sheet name="SF_3_CM" sheetId="18" r:id="rId6"/>
    <sheet name="FMEA_1" sheetId="9" r:id="rId7"/>
    <sheet name="FMEA_2" sheetId="10" r:id="rId8"/>
    <sheet name="FMEA_3" sheetId="11" r:id="rId9"/>
    <sheet name="Rate Converter" sheetId="7" r:id="rId10"/>
    <sheet name="MooN table" sheetId="3" state="hidden" r:id="rId11"/>
    <sheet name="Lookup tables" sheetId="8" state="hidden" r:id="rId12"/>
  </sheets>
  <definedNames>
    <definedName name="archSILlimit" localSheetId="3">SF_1_LD!$J$72</definedName>
    <definedName name="archSILlimit" localSheetId="4">SF_2_HD!$J$71</definedName>
    <definedName name="archSILlimit" localSheetId="5">SF_3_CM!$J$71</definedName>
    <definedName name="avg_before_product" localSheetId="3">SF_1_LD!$AJ$129:$AJ$131</definedName>
    <definedName name="CCF_T_N" localSheetId="3">SF_1_LD!$AO$129:$AO$131</definedName>
    <definedName name="CCF_T1_term" localSheetId="3">SF_1_LD!$AK$129:$AK$131</definedName>
    <definedName name="CCF_T2_term" localSheetId="3">SF_1_LD!$AL$129:$AL$131</definedName>
    <definedName name="CCF_λDD_term" localSheetId="3">SF_1_LD!$AM$129:$AM$131</definedName>
    <definedName name="Dangerous_fraction">'Lookup tables'!$M$2:$M$9</definedName>
    <definedName name="DC" localSheetId="6">FMEA_1!$H$9</definedName>
    <definedName name="DC" localSheetId="7">FMEA_2!$H$9</definedName>
    <definedName name="DC" localSheetId="8">FMEA_3!$H$9</definedName>
    <definedName name="Descr" localSheetId="3">SF_1_LD!$B$9</definedName>
    <definedName name="Descr" localSheetId="4">SF_2_HD!$B$9</definedName>
    <definedName name="Descr" localSheetId="5">SF_3_CM!$B$9</definedName>
    <definedName name="Detectability">'Lookup tables'!$K$2:$K$8</definedName>
    <definedName name="Eqpt_ID" localSheetId="6">FMEA_1!$B$3</definedName>
    <definedName name="Eqpt_ID" localSheetId="7">FMEA_2!$B$3</definedName>
    <definedName name="Eqpt_ID" localSheetId="8">FMEA_3!$B$3</definedName>
    <definedName name="EqptDescr" localSheetId="6">FMEA_1!$D$3</definedName>
    <definedName name="EqptDescr" localSheetId="7">FMEA_2!$D$3</definedName>
    <definedName name="EqptDescr" localSheetId="8">FMEA_3!$D$3</definedName>
    <definedName name="Expected_freq__λ_PA" localSheetId="6">FMEA_1!$F$12:$F$41</definedName>
    <definedName name="Expected_freq__λ_PA" localSheetId="7">FMEA_2!$F$12:$F$27</definedName>
    <definedName name="Expected_freq__λ_PA" localSheetId="8">FMEA_3!$F$12:$F$41</definedName>
    <definedName name="FE_B" localSheetId="3">SF_1_LD!$L$66</definedName>
    <definedName name="FE_B" localSheetId="4">SF_2_HD!$L$65</definedName>
    <definedName name="FE_B" localSheetId="5">SF_3_CM!$L$65</definedName>
    <definedName name="FE_BD" localSheetId="3">SF_1_LD!$L$67</definedName>
    <definedName name="FE_BD" localSheetId="4">SF_2_HD!$L$66</definedName>
    <definedName name="FE_BD" localSheetId="5">SF_3_CM!$L$66</definedName>
    <definedName name="FE_FMEA" localSheetId="3">SF_1_LD!$E$54</definedName>
    <definedName name="FE_FMEA" localSheetId="4">SF_2_HD!$E$53</definedName>
    <definedName name="FE_FMEA" localSheetId="5">SF_3_CM!$E$53</definedName>
    <definedName name="FE_HFT" localSheetId="3">SF_1_LD!$K$62</definedName>
    <definedName name="FE_HFT" localSheetId="4">SF_2_HD!$K$61</definedName>
    <definedName name="FE_HFT" localSheetId="5">SF_3_CM!$K$61</definedName>
    <definedName name="FE_M" localSheetId="3">SF_1_LD!$D$62</definedName>
    <definedName name="FE_M" localSheetId="4">SF_2_HD!$D$61</definedName>
    <definedName name="FE_M" localSheetId="5">SF_3_CM!$D$61</definedName>
    <definedName name="FE_MRT" localSheetId="3">SF_1_LD!$I$66</definedName>
    <definedName name="FE_MRT" localSheetId="4">SF_2_HD!$I$65</definedName>
    <definedName name="FE_MRT" localSheetId="5">SF_3_CM!$I$65</definedName>
    <definedName name="FE_MTTR" localSheetId="3">SF_1_LD!$I$67</definedName>
    <definedName name="FE_MTTR" localSheetId="4">SF_2_HD!$I$66</definedName>
    <definedName name="FE_MTTR" localSheetId="5">SF_3_CM!$I$66</definedName>
    <definedName name="FE_N" localSheetId="3">SF_1_LD!$F$62</definedName>
    <definedName name="FE_N" localSheetId="4">SF_2_HD!$F$61</definedName>
    <definedName name="FE_N" localSheetId="5">SF_3_CM!$F$61</definedName>
    <definedName name="FE_T1" localSheetId="3">SF_1_LD!$D$66</definedName>
    <definedName name="FE_T1" localSheetId="4">SF_2_HD!$D$65</definedName>
    <definedName name="FE_T1" localSheetId="5">SF_3_CM!$D$65</definedName>
    <definedName name="FE_T2" localSheetId="3">SF_1_LD!$D$68</definedName>
    <definedName name="FE_T2" localSheetId="4">SF_2_HD!$D$66</definedName>
    <definedName name="FE_T2" localSheetId="5">SF_3_CM!$D$66</definedName>
    <definedName name="FESC" localSheetId="3">SF_1_LD!$O$59</definedName>
    <definedName name="FESC" localSheetId="4">SF_2_HD!$O$58</definedName>
    <definedName name="FESC" localSheetId="5">SF_3_CM!$O$58</definedName>
    <definedName name="FESILlimit" localSheetId="3">SF_1_LD!$O$64</definedName>
    <definedName name="FESILlimit" localSheetId="4">SF_2_HD!$O$63</definedName>
    <definedName name="FESILlimit" localSheetId="5">SF_3_CM!$O$63</definedName>
    <definedName name="FESuitability" localSheetId="3">SF_1_LD!$F$59</definedName>
    <definedName name="FESuitability" localSheetId="4">SF_2_HD!$F$58</definedName>
    <definedName name="FESuitability" localSheetId="5">SF_3_CM!$F$58</definedName>
    <definedName name="FETestsStaggered" localSheetId="3">SF_1_LD!$D$67</definedName>
    <definedName name="FMEA_sheet_list" localSheetId="3">SF_1_LD!$D$129:$D$131</definedName>
    <definedName name="FMEA_sheet_list" localSheetId="4">SF_2_HD!$D$128:$D$130</definedName>
    <definedName name="FMEA_sheet_list" localSheetId="5">SF_3_CM!$D$128:$D$130</definedName>
    <definedName name="FMEAtable" localSheetId="6">FMEA_1!$A$12:$Q$41</definedName>
    <definedName name="FMEAtable" localSheetId="7">FMEA_2!$A$12:$Q$27</definedName>
    <definedName name="FMEAtable" localSheetId="8">FMEA_3!$A$12:$Q$41</definedName>
    <definedName name="FreqFITS">'Lookup tables'!$E$2:$E$9</definedName>
    <definedName name="FreqRanking">'Lookup tables'!$H$2:$H$11</definedName>
    <definedName name="Frequency">'Lookup tables'!$D$2:$H$11</definedName>
    <definedName name="HFT_method_index">'Lookup tables'!$AF$3:$AG$6</definedName>
    <definedName name="HFTmethods">'Lookup tables'!$AF$3:$AF$6</definedName>
    <definedName name="HFTtoSIL61511">'Lookup tables'!$Z$4:$AA$6</definedName>
    <definedName name="HFTType" localSheetId="6">FMEA_1!$B$7</definedName>
    <definedName name="HFTType" localSheetId="7">FMEA_2!$B$7</definedName>
    <definedName name="HFTType" localSheetId="8">FMEA_3!$B$7</definedName>
    <definedName name="M" localSheetId="3">SF_1_LD!$E$129:$E$131</definedName>
    <definedName name="M" localSheetId="4">SF_2_HD!$E$128:$E$130</definedName>
    <definedName name="M" localSheetId="5">SF_3_CM!$E$128:$E$130</definedName>
    <definedName name="Manufacturers_and_models" localSheetId="6">FMEA_1!$D$4</definedName>
    <definedName name="Manufacturers_and_models" localSheetId="7">FMEA_2!$D$4</definedName>
    <definedName name="Manufacturers_and_models" localSheetId="8">FMEA_3!$D$4</definedName>
    <definedName name="MchooseN" localSheetId="3">SF_1_LD!$AI$129:$AI$131</definedName>
    <definedName name="MchooseN" localSheetId="4">SF_2_HD!$AS$128:$AS$130</definedName>
    <definedName name="MchooseN" localSheetId="5">SF_3_CM!$AS$128:$AS$130</definedName>
    <definedName name="MDT1oo2" localSheetId="4">SF_2_HD!$AD$128:$AD$130</definedName>
    <definedName name="MDT1oo2" localSheetId="5">SF_3_CM!$AC$128:$AC$130</definedName>
    <definedName name="Modes">'Lookup tables'!$B$2:$B$21</definedName>
    <definedName name="MooNModelPFDavg" localSheetId="3">SF_1_LD!$AP$129:$AP$131</definedName>
    <definedName name="Mrange">'MooN table'!$A$3:$A$9</definedName>
    <definedName name="MRT" localSheetId="3">SF_1_LD!$M$129:$M$131</definedName>
    <definedName name="MRT" localSheetId="4">SF_2_HD!$M$128:$M$130</definedName>
    <definedName name="MRT" localSheetId="5">SF_3_CM!$M$128:$M$130</definedName>
    <definedName name="MTBFDD" localSheetId="3">SF_1_LD!$T$129:$T$131</definedName>
    <definedName name="MTBFDD" localSheetId="4">SF_2_HD!$T$128:$T$130</definedName>
    <definedName name="MTBFDD" localSheetId="5">SF_3_CM!$T$128:$T$130</definedName>
    <definedName name="MTBFDN" localSheetId="3">SF_1_LD!$X$129:$X$131</definedName>
    <definedName name="MTBFDN" localSheetId="4">SF_2_HD!$X$128:$X$130</definedName>
    <definedName name="MTBFDN" localSheetId="5">SF_3_CM!$X$128:$X$130</definedName>
    <definedName name="MTBFDU" localSheetId="3">SF_1_LD!$R$129:$R$131</definedName>
    <definedName name="MTBFDU" localSheetId="4">SF_2_HD!$R$128:$R$130</definedName>
    <definedName name="MTBFDU" localSheetId="5">SF_3_CM!$R$128:$R$130</definedName>
    <definedName name="MTBFS" localSheetId="3">SF_1_LD!$AA$129:$AA$131</definedName>
    <definedName name="MTBFS" localSheetId="4">SF_2_HD!$AA$128:$AA$130</definedName>
    <definedName name="MTBFS" localSheetId="5">SF_3_CM!$Z$128:$Z$130</definedName>
    <definedName name="MTTFS" localSheetId="3">SF_1_LD!$F$98</definedName>
    <definedName name="MTTFS" localSheetId="4">SF_2_HD!$F$97</definedName>
    <definedName name="MTTFS" localSheetId="5">SF_3_CM!$F$97</definedName>
    <definedName name="MTTR" localSheetId="3">SF_1_LD!$L$129:$L$131</definedName>
    <definedName name="MTTR" localSheetId="4">SF_2_HD!$L$128:$L$130</definedName>
    <definedName name="MTTR" localSheetId="5">SF_3_CM!$L$128:$L$130</definedName>
    <definedName name="N" localSheetId="3">SF_1_LD!$F$129:$F$131</definedName>
    <definedName name="N" localSheetId="4">SF_2_HD!$F$128:$F$130</definedName>
    <definedName name="N" localSheetId="5">SF_3_CM!$F$128:$F$130</definedName>
    <definedName name="Nrange">'MooN table'!$B$2:$H$2</definedName>
    <definedName name="orders_of_magnitude">'Lookup tables'!$AI$3:$AI$5</definedName>
    <definedName name="PFDterms" localSheetId="3">SF_1_LD!$AK$129:$AQ$131</definedName>
    <definedName name="PFDβ" localSheetId="3">SF_1_LD!$P$129:$P$131</definedName>
    <definedName name="PFDβD" localSheetId="3">SF_1_LD!$Q$129:$Q$131</definedName>
    <definedName name="PFH" localSheetId="4">SF_2_HD!$D$97</definedName>
    <definedName name="PFH" localSheetId="5">SF_3_CM!$D$97</definedName>
    <definedName name="PFH_target" localSheetId="4">SF_2_HD!$N$7</definedName>
    <definedName name="PFH_target" localSheetId="5">SF_3_CM!$N$7</definedName>
    <definedName name="PFHterms" localSheetId="4">SF_2_HD!$AT$128:$AU$130</definedName>
    <definedName name="PFHterms" localSheetId="5">SF_3_CM!$AT$128:$AU$130</definedName>
    <definedName name="PFHtoSIL">'Lookup tables'!$AC$11:$AD$15</definedName>
    <definedName name="PFHβ" localSheetId="4">SF_2_HD!$P$128:$P$130</definedName>
    <definedName name="PFHβ" localSheetId="5">SF_3_CM!$P$128:$P$130</definedName>
    <definedName name="PFHβD" localSheetId="4">SF_2_HD!$Q$128:$Q$130</definedName>
    <definedName name="PFHβD" localSheetId="5">SF_3_CM!$Q$128:$Q$130</definedName>
    <definedName name="_xlnm.Print_Area" localSheetId="3">SF_1_LD!$A$1:$P$112</definedName>
    <definedName name="_xlnm.Print_Area" localSheetId="4">SF_2_HD!$A$1:$O$111</definedName>
    <definedName name="_xlnm.Print_Area" localSheetId="5">SF_3_CM!$A$1:$O$111</definedName>
    <definedName name="_xlnm.Print_Area" localSheetId="2">Summary!$B$1:$K$35</definedName>
    <definedName name="PTC" localSheetId="6">FMEA_1!$J$9</definedName>
    <definedName name="PTC" localSheetId="7">FMEA_2!$J$9</definedName>
    <definedName name="PTC" localSheetId="8">FMEA_3!$J$9</definedName>
    <definedName name="References" localSheetId="6">FMEA_1!$D$5</definedName>
    <definedName name="References" localSheetId="7">FMEA_2!$D$5</definedName>
    <definedName name="References" localSheetId="8">FMEA_3!$D$5</definedName>
    <definedName name="ReleaseDate">About!$D$2</definedName>
    <definedName name="RevDates">About!$B$28:$B$58</definedName>
    <definedName name="Route1H_Tables">'Lookup tables'!$Q$4:$X$17</definedName>
    <definedName name="RRF" localSheetId="3">SF_1_LD!$D$98</definedName>
    <definedName name="RRF" localSheetId="4">SF_2_HD!$N$90</definedName>
    <definedName name="RRF" localSheetId="5">SF_3_CM!$N$90</definedName>
    <definedName name="RRF_target" localSheetId="3">SF_1_LD!$O$7</definedName>
    <definedName name="RRF_target" localSheetId="4">SF_2_HD!$N$89</definedName>
    <definedName name="RRF_target" localSheetId="5">SF_3_CM!$N$89</definedName>
    <definedName name="RRFtoSIL">'Lookup tables'!$AC$3:$AD$7</definedName>
    <definedName name="SClist">'Lookup tables'!$AI$11:$AI$15</definedName>
    <definedName name="SelectedFEsystem" localSheetId="3">SF_1_LD!$J$54</definedName>
    <definedName name="SelectedFEsystem" localSheetId="4">SF_2_HD!$J$53</definedName>
    <definedName name="SelectedFEsystem" localSheetId="5">SF_3_CM!$J$53</definedName>
    <definedName name="SelectedSensorSystem" localSheetId="3">SF_1_LD!$J$15</definedName>
    <definedName name="SelectedSensorSystem" localSheetId="4">SF_2_HD!$J$15</definedName>
    <definedName name="SelectedSensorSystem" localSheetId="5">SF_3_CM!$J$15</definedName>
    <definedName name="SelectedSolver" localSheetId="3">SF_1_LD!$J$35</definedName>
    <definedName name="SelectedSolver" localSheetId="4">SF_2_HD!$J$34</definedName>
    <definedName name="SelectedSolver" localSheetId="5">SF_3_CM!$J$34</definedName>
    <definedName name="SensorB" localSheetId="3">SF_1_LD!$L$27</definedName>
    <definedName name="SensorB" localSheetId="4">SF_2_HD!$L$27</definedName>
    <definedName name="SensorB" localSheetId="5">SF_3_CM!$L$27</definedName>
    <definedName name="SensorBD" localSheetId="3">SF_1_LD!$L$28</definedName>
    <definedName name="SensorBD" localSheetId="4">SF_2_HD!$L$28</definedName>
    <definedName name="SensorBD" localSheetId="5">SF_3_CM!$L$28</definedName>
    <definedName name="SensorFMEA" localSheetId="3">SF_1_LD!$E$15</definedName>
    <definedName name="SensorFMEA" localSheetId="4">SF_2_HD!$E$15</definedName>
    <definedName name="SensorFMEA" localSheetId="5">SF_3_CM!$E$15</definedName>
    <definedName name="SensorHFT" localSheetId="3">SF_1_LD!$K$23</definedName>
    <definedName name="SensorHFT" localSheetId="4">SF_2_HD!$K$23</definedName>
    <definedName name="SensorHFT" localSheetId="5">SF_3_CM!$K$23</definedName>
    <definedName name="SensorM" localSheetId="3">SF_1_LD!$D$23</definedName>
    <definedName name="SensorM" localSheetId="4">SF_2_HD!$D$23</definedName>
    <definedName name="SensorM" localSheetId="5">SF_3_CM!$D$23</definedName>
    <definedName name="SensorMRT" localSheetId="3">SF_1_LD!$I$27</definedName>
    <definedName name="SensorMRT" localSheetId="4">SF_2_HD!$I$27</definedName>
    <definedName name="SensorMRT" localSheetId="5">SF_3_CM!$I$27</definedName>
    <definedName name="SensorMTTR" localSheetId="3">SF_1_LD!$I$28</definedName>
    <definedName name="SensorMTTR" localSheetId="4">SF_2_HD!$I$28</definedName>
    <definedName name="SensorMTTR" localSheetId="5">SF_3_CM!$I$28</definedName>
    <definedName name="SensorN" localSheetId="3">SF_1_LD!$F$23</definedName>
    <definedName name="SensorN" localSheetId="4">SF_2_HD!$F$23</definedName>
    <definedName name="SensorN" localSheetId="5">SF_3_CM!$F$23</definedName>
    <definedName name="SensorSC" localSheetId="3">SF_1_LD!$O$20</definedName>
    <definedName name="SensorSC" localSheetId="4">SF_2_HD!$O$20</definedName>
    <definedName name="SensorSC" localSheetId="5">SF_3_CM!$O$20</definedName>
    <definedName name="SensorSILlimit" localSheetId="3">SF_1_LD!$O$25</definedName>
    <definedName name="SensorSILlimit" localSheetId="4">SF_2_HD!$O$25</definedName>
    <definedName name="SensorSILlimit" localSheetId="5">SF_3_CM!$O$25</definedName>
    <definedName name="SensorSuitability" localSheetId="3">SF_1_LD!$F$20</definedName>
    <definedName name="SensorSuitability" localSheetId="4">SF_2_HD!$F$20</definedName>
    <definedName name="SensorSuitability" localSheetId="5">SF_3_CM!$F$20</definedName>
    <definedName name="SensorT1" localSheetId="3">SF_1_LD!$D$27</definedName>
    <definedName name="SensorT1" localSheetId="4">SF_2_HD!$D$27</definedName>
    <definedName name="SensorT1" localSheetId="5">SF_3_CM!$D$27</definedName>
    <definedName name="SensorT2" localSheetId="3">SF_1_LD!$D$29</definedName>
    <definedName name="SensorT2" localSheetId="4">SF_2_HD!$D$28</definedName>
    <definedName name="SensorT2" localSheetId="5">SF_3_CM!$D$28</definedName>
    <definedName name="SensorTestsStaggered" localSheetId="3">SF_1_LD!$D$28</definedName>
    <definedName name="SF_ID" localSheetId="3">SF_1_LD!$E$7</definedName>
    <definedName name="SF_ID" localSheetId="4">SF_2_HD!$E$7</definedName>
    <definedName name="SF_ID" localSheetId="5">SF_3_CM!$E$7</definedName>
    <definedName name="SFF" localSheetId="6">FMEA_1!$I$9</definedName>
    <definedName name="SFF" localSheetId="7">FMEA_2!$I$9</definedName>
    <definedName name="SFF" localSheetId="8">FMEA_3!$I$9</definedName>
    <definedName name="SFFRange">'Lookup tables'!$Q$4:$Q$7</definedName>
    <definedName name="SFIndex" localSheetId="2">Summary!$A:$A</definedName>
    <definedName name="SigFigs" localSheetId="6">2</definedName>
    <definedName name="SigFigs" localSheetId="7">2</definedName>
    <definedName name="SigFigs" localSheetId="8">2</definedName>
    <definedName name="SigFigs" localSheetId="11">'Lookup tables'!$E$12</definedName>
    <definedName name="SigFigs" localSheetId="3">SF_1_LD!$B$124</definedName>
    <definedName name="SigFigs" localSheetId="4">SF_2_HD!$B$123</definedName>
    <definedName name="SigFigs" localSheetId="5">SF_3_CM!$B$123</definedName>
    <definedName name="SIL">'Lookup tables'!$AD$3:$AD$7</definedName>
    <definedName name="SIL_target" localSheetId="3">SF_1_LD!$J$7</definedName>
    <definedName name="SIL_target" localSheetId="4">SF_2_HD!$J$7</definedName>
    <definedName name="SIL_target" localSheetId="5">SF_3_CM!$J$7</definedName>
    <definedName name="SILachieved" localSheetId="3">SF_1_LD!$J$71</definedName>
    <definedName name="SILachieved" localSheetId="4">SF_2_HD!$J$70</definedName>
    <definedName name="SILachieved" localSheetId="5">SF_3_CM!$J$70</definedName>
    <definedName name="SolverB" localSheetId="3">SF_1_LD!$L$47</definedName>
    <definedName name="SolverB" localSheetId="4">SF_2_HD!$L$46</definedName>
    <definedName name="SolverB" localSheetId="5">SF_3_CM!$L$46</definedName>
    <definedName name="SolverBD" localSheetId="3">SF_1_LD!$L$48</definedName>
    <definedName name="SolverBD" localSheetId="4">SF_2_HD!$L$47</definedName>
    <definedName name="SolverBD" localSheetId="5">SF_3_CM!$L$47</definedName>
    <definedName name="SolverFMEA" localSheetId="3">SF_1_LD!$E$35</definedName>
    <definedName name="SolverFMEA" localSheetId="4">SF_2_HD!$E$34</definedName>
    <definedName name="SolverFMEA" localSheetId="5">SF_3_CM!$E$34</definedName>
    <definedName name="SolverHFT" localSheetId="3">SF_1_LD!$K$43</definedName>
    <definedName name="SolverHFT" localSheetId="4">SF_2_HD!$K$42</definedName>
    <definedName name="SolverHFT" localSheetId="5">SF_3_CM!$K$42</definedName>
    <definedName name="SolverM" localSheetId="3">SF_1_LD!$D$43</definedName>
    <definedName name="SolverM" localSheetId="4">SF_2_HD!$D$42</definedName>
    <definedName name="SolverM" localSheetId="5">SF_3_CM!$D$42</definedName>
    <definedName name="SolverMRT" localSheetId="3">SF_1_LD!$I$47</definedName>
    <definedName name="SolverMRT" localSheetId="4">SF_2_HD!$I$46</definedName>
    <definedName name="SolverMRT" localSheetId="5">SF_3_CM!$I$46</definedName>
    <definedName name="SolverMTTR" localSheetId="3">SF_1_LD!$I$48</definedName>
    <definedName name="SolverMTTR" localSheetId="4">SF_2_HD!$I$47</definedName>
    <definedName name="SolverMTTR" localSheetId="5">SF_3_CM!$I$47</definedName>
    <definedName name="SolverN" localSheetId="3">SF_1_LD!$F$43</definedName>
    <definedName name="SolverN" localSheetId="4">SF_2_HD!$F$42</definedName>
    <definedName name="SolverN" localSheetId="5">SF_3_CM!$F$42</definedName>
    <definedName name="SolverSC" localSheetId="3">SF_1_LD!$O$40</definedName>
    <definedName name="SolverSC" localSheetId="4">SF_2_HD!$O$39</definedName>
    <definedName name="SolverSC" localSheetId="5">SF_3_CM!$O$39</definedName>
    <definedName name="SolverSILlimit" localSheetId="3">SF_1_LD!$O$45</definedName>
    <definedName name="SolverSILlimit" localSheetId="4">SF_2_HD!$O$44</definedName>
    <definedName name="SolverSILlimit" localSheetId="5">SF_3_CM!$O$44</definedName>
    <definedName name="SolverSuitability" localSheetId="3">SF_1_LD!$F$40</definedName>
    <definedName name="SolverSuitability" localSheetId="4">SF_2_HD!$F$39</definedName>
    <definedName name="SolverSuitability" localSheetId="5">SF_3_CM!$F$39</definedName>
    <definedName name="SolverT1" localSheetId="3">SF_1_LD!$D$47</definedName>
    <definedName name="SolverT1" localSheetId="4">SF_2_HD!$D$46</definedName>
    <definedName name="SolverT1" localSheetId="5">SF_3_CM!$D$46</definedName>
    <definedName name="SolverT2" localSheetId="3">SF_1_LD!$D$48</definedName>
    <definedName name="SolverT2" localSheetId="4">SF_2_HD!$D$47</definedName>
    <definedName name="SolverT2" localSheetId="5">SF_3_CM!$D$47</definedName>
    <definedName name="Staggered" localSheetId="3">SF_1_LD!$AN$129:$AN$131</definedName>
    <definedName name="STmulitipliers">'MooN table'!$B$17:$H$23</definedName>
    <definedName name="STRbeta" localSheetId="3">SF_1_LD!$AD$129:$AD$131</definedName>
    <definedName name="STRbeta" localSheetId="4">SF_2_HD!$AJ$128:$AJ$130</definedName>
    <definedName name="STRbeta" localSheetId="5">SF_3_CM!$AJ$128:$AJ$130</definedName>
    <definedName name="SubSysIndex" localSheetId="3">SF_1_LD!$A$129:$A$131</definedName>
    <definedName name="SubSysIndex" localSheetId="4">SF_2_HD!$A$128:$A$130</definedName>
    <definedName name="SubSysIndex" localSheetId="5">SF_3_CM!$A$128:$A$130</definedName>
    <definedName name="SubSysTable" localSheetId="3">SF_1_LD!$A$129:$AW$131</definedName>
    <definedName name="SubSysTable" localSheetId="4">SF_2_HD!$A$128:$AM$130</definedName>
    <definedName name="SubSysTable" localSheetId="5">SF_3_CM!$A$128:$AM$130</definedName>
    <definedName name="SubsystemPFDavg" localSheetId="3">SF_1_LD!$AP$129:$AP$131</definedName>
    <definedName name="SubSystemPFDs" localSheetId="3">SF_1_LD!$D$80:$J$80</definedName>
    <definedName name="SubSystemPFHs" localSheetId="4">SF_2_HD!$D$79:$J$79</definedName>
    <definedName name="SubSystemPFHs" localSheetId="5">SF_3_CM!$D$79:$J$79</definedName>
    <definedName name="SubsystemsSTR" localSheetId="3">SF_1_LD!$D$82:$H$82</definedName>
    <definedName name="SubsystemsSTR" localSheetId="4">SF_2_HD!$D$81:$H$81</definedName>
    <definedName name="SubsystemsSTR" localSheetId="5">SF_3_CM!$D$81:$H$81</definedName>
    <definedName name="subsystemSTR">SF_1_LD!$AG$129:$AG$131</definedName>
    <definedName name="Suitability" localSheetId="6">FMEA_1!$D$6</definedName>
    <definedName name="Suitability" localSheetId="7">FMEA_2!$D$6</definedName>
    <definedName name="Suitability" localSheetId="8">FMEA_3!$D$6</definedName>
    <definedName name="Suitability">'Lookup tables'!$AF$11:$AF$14</definedName>
    <definedName name="T_1" localSheetId="3">SF_1_LD!$H$129:$H$131</definedName>
    <definedName name="T_1" localSheetId="4">SF_2_HD!$H$128:$H$130</definedName>
    <definedName name="T_1" localSheetId="5">SF_3_CM!$H$128:$H$130</definedName>
    <definedName name="T_2" localSheetId="3">SF_1_LD!$I$129:$I$131</definedName>
    <definedName name="T_2" localSheetId="4">SF_2_HD!$I$128:$I$130</definedName>
    <definedName name="T_2" localSheetId="5">SF_3_CM!$I$128:$I$130</definedName>
    <definedName name="TrueOrFalse">'Lookup tables'!$AM$11:$AM$12</definedName>
    <definedName name="TypeAHFT">'Lookup tables'!$Q$4:$X$7</definedName>
    <definedName name="TypeAorB">'Lookup tables'!$O$2:$O$3</definedName>
    <definedName name="TypeBHFT">'Lookup tables'!$Q$14:$X$17</definedName>
    <definedName name="UncertaintyBands">'Lookup tables'!$AI$3:$AJ$5</definedName>
    <definedName name="UncertaintyFactor" localSheetId="3">SF_1_LD!$M$99</definedName>
    <definedName name="UncertaintyFactor" localSheetId="4">SF_2_HD!$M$98</definedName>
    <definedName name="UncertaintyFactor" localSheetId="5">SF_3_CM!$M$98</definedName>
    <definedName name="UncertaintyOrder" localSheetId="3">SF_1_LD!$D$90</definedName>
    <definedName name="UncertaintyOrder" localSheetId="4">SF_2_HD!$D$89</definedName>
    <definedName name="UncertaintyOrder" localSheetId="5">SF_3_CM!$D$89</definedName>
    <definedName name="VariablesList" localSheetId="3">SF_1_LD!$R$128:$AB$128</definedName>
    <definedName name="VariablesList" localSheetId="4">SF_2_HD!$R$127:$AB$127</definedName>
    <definedName name="VariablesList" localSheetId="5">SF_3_CM!$R$127:$AA$127</definedName>
    <definedName name="VariableValues" localSheetId="3">SF_1_LD!$R$129:$AB$131</definedName>
    <definedName name="VariableValues" localSheetId="4">SF_2_HD!$R$128:$AB$130</definedName>
    <definedName name="VariableValues" localSheetId="5">SF_3_CM!$R$128:$AA$130</definedName>
    <definedName name="VersionList">About!$A$28:$A$58</definedName>
    <definedName name="β" localSheetId="3">SF_1_LD!$N$129:$N$131</definedName>
    <definedName name="β" localSheetId="4">SF_2_HD!$N$128:$N$130</definedName>
    <definedName name="β" localSheetId="5">SF_3_CM!$N$128:$N$130</definedName>
    <definedName name="βD" localSheetId="3">SF_1_LD!$O$129:$O$131</definedName>
    <definedName name="βD" localSheetId="4">SF_2_HD!$O$128:$O$130</definedName>
    <definedName name="βD" localSheetId="5">SF_3_CM!$O$128:$O$130</definedName>
    <definedName name="βmultipliers">'MooN table'!$B$3:$H$9</definedName>
    <definedName name="βvalues">'Lookup tables'!$AM$3:$AM$7</definedName>
    <definedName name="λ" localSheetId="6">FMEA_1!$F$9</definedName>
    <definedName name="λ" localSheetId="7">FMEA_2!$F$9</definedName>
    <definedName name="λ" localSheetId="8">FMEA_3!$F$9</definedName>
    <definedName name="λD" localSheetId="6">FMEA_1!$K$9</definedName>
    <definedName name="λD" localSheetId="7">FMEA_2!$K$9</definedName>
    <definedName name="λD" localSheetId="8">FMEA_3!$K$9</definedName>
    <definedName name="λd" localSheetId="4">SF_2_HD!$Y$128:$Y$130</definedName>
    <definedName name="λd" localSheetId="5">SF_3_CM!$Y$128:$Y$130</definedName>
    <definedName name="λD_FITS" localSheetId="6">FMEA_1!$K$12:$K$41</definedName>
    <definedName name="λD_FITS" localSheetId="7">FMEA_2!$K$12:$K$27</definedName>
    <definedName name="λD_FITS" localSheetId="8">FMEA_3!$K$12:$K$41</definedName>
    <definedName name="λDD" localSheetId="6">FMEA_1!$L$9</definedName>
    <definedName name="λDD" localSheetId="7">FMEA_2!$L$9</definedName>
    <definedName name="λDD" localSheetId="8">FMEA_3!$L$9</definedName>
    <definedName name="λDD" localSheetId="3">SF_1_LD!$U$129:$U$131</definedName>
    <definedName name="λDD" localSheetId="4">SF_2_HD!$U$128:$U$130</definedName>
    <definedName name="λDD" localSheetId="5">SF_3_CM!$U$128:$U$130</definedName>
    <definedName name="λDD_FITS" localSheetId="6">FMEA_1!$L$12:$L$41</definedName>
    <definedName name="λDD_FITS" localSheetId="7">FMEA_2!$L$12:$L$27</definedName>
    <definedName name="λDD_FITS" localSheetId="8">FMEA_3!$L$12:$L$41</definedName>
    <definedName name="λDN" localSheetId="6">FMEA_1!$N$9</definedName>
    <definedName name="λDN" localSheetId="7">FMEA_2!$N$9</definedName>
    <definedName name="λDN" localSheetId="8">FMEA_3!$N$9</definedName>
    <definedName name="λDN" localSheetId="3">SF_1_LD!$Y$129:$Y$131</definedName>
    <definedName name="λDN" localSheetId="4">SF_2_HD!$Y$128:$Y$130</definedName>
    <definedName name="λDN" localSheetId="5">SF_3_CM!$Y$128:$Y$130</definedName>
    <definedName name="λDN_FITS" localSheetId="6">FMEA_1!$N$12:$N$41</definedName>
    <definedName name="λDN_FITS" localSheetId="7">FMEA_2!$N$12:$N$27</definedName>
    <definedName name="λDN_FITS" localSheetId="8">FMEA_3!$N$12:$N$41</definedName>
    <definedName name="λDU" localSheetId="6">FMEA_1!$M$9</definedName>
    <definedName name="λDU" localSheetId="7">FMEA_2!$M$9</definedName>
    <definedName name="λDU" localSheetId="8">FMEA_3!$M$9</definedName>
    <definedName name="λDU" localSheetId="3">SF_1_LD!$S$129:$S$131</definedName>
    <definedName name="λDU" localSheetId="4">SF_2_HD!$S$128:$S$130</definedName>
    <definedName name="λDU" localSheetId="5">SF_3_CM!$S$128:$S$130</definedName>
    <definedName name="λDU_FITS" localSheetId="6">FMEA_1!$M$12:$M$41</definedName>
    <definedName name="λDU_FITS" localSheetId="7">FMEA_2!$M$12:$M$27</definedName>
    <definedName name="λDU_FITS" localSheetId="8">FMEA_3!$M$12:$M$41</definedName>
    <definedName name="λSD" localSheetId="6">FMEA_1!$O$9</definedName>
    <definedName name="λSD" localSheetId="7">FMEA_2!$O$9</definedName>
    <definedName name="λSD" localSheetId="8">FMEA_3!$O$9</definedName>
    <definedName name="λSD_FITS" localSheetId="6">FMEA_1!$O$12:$O$41</definedName>
    <definedName name="λSD_FITS" localSheetId="7">FMEA_2!$O$12:$O$27</definedName>
    <definedName name="λSD_FITS" localSheetId="8">FMEA_3!$O$12:$O$41</definedName>
    <definedName name="λSU" localSheetId="6">FMEA_1!$P$9</definedName>
    <definedName name="λSU" localSheetId="7">FMEA_2!$P$9</definedName>
    <definedName name="λSU" localSheetId="8">FMEA_3!$P$9</definedName>
    <definedName name="λSU" localSheetId="3">SF_1_LD!$AB$129:$AB$131</definedName>
    <definedName name="λSU" localSheetId="4">SF_2_HD!$AB$128:$AB$130</definedName>
    <definedName name="λSU" localSheetId="5">SF_3_CM!$AA$128:$AA$130</definedName>
    <definedName name="λSU_FITS" localSheetId="6">FMEA_1!$P$12:$P$41</definedName>
    <definedName name="λSU_FITS" localSheetId="7">FMEA_2!$P$12:$P$27</definedName>
    <definedName name="λSU_FITS" localSheetId="8">FMEA_3!$P$12:$P$41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 l="1"/>
  <c r="B2" i="15" s="1"/>
  <c r="AN131" i="16"/>
  <c r="AN129" i="16"/>
  <c r="G4" i="14"/>
  <c r="H77" i="18" l="1"/>
  <c r="F77" i="18"/>
  <c r="D77" i="18"/>
  <c r="H77" i="17"/>
  <c r="F77" i="17"/>
  <c r="D77" i="17"/>
  <c r="H78" i="16"/>
  <c r="D78" i="16"/>
  <c r="F78" i="16"/>
  <c r="O130" i="18"/>
  <c r="N130" i="18"/>
  <c r="K130" i="18"/>
  <c r="M130" i="18" s="1"/>
  <c r="J130" i="18"/>
  <c r="L130" i="18" s="1"/>
  <c r="H130" i="18"/>
  <c r="F130" i="18"/>
  <c r="E130" i="18"/>
  <c r="D130" i="18"/>
  <c r="O129" i="18"/>
  <c r="N129" i="18"/>
  <c r="K129" i="18"/>
  <c r="M129" i="18" s="1"/>
  <c r="J129" i="18"/>
  <c r="L129" i="18" s="1"/>
  <c r="H129" i="18"/>
  <c r="F129" i="18"/>
  <c r="E129" i="18"/>
  <c r="D129" i="18"/>
  <c r="O128" i="18"/>
  <c r="N128" i="18"/>
  <c r="K128" i="18"/>
  <c r="M128" i="18" s="1"/>
  <c r="J128" i="18"/>
  <c r="L128" i="18" s="1"/>
  <c r="H128" i="18"/>
  <c r="F128" i="18"/>
  <c r="AB128" i="18" s="1" a="1"/>
  <c r="AB128" i="18" s="1"/>
  <c r="E128" i="18"/>
  <c r="D128" i="18"/>
  <c r="M98" i="18"/>
  <c r="H87" i="18"/>
  <c r="F87" i="18"/>
  <c r="D87" i="18"/>
  <c r="H83" i="18"/>
  <c r="F83" i="18"/>
  <c r="D83" i="18"/>
  <c r="J69" i="18"/>
  <c r="E69" i="18"/>
  <c r="K61" i="18"/>
  <c r="D63" i="18" s="1"/>
  <c r="D64" i="18" s="1"/>
  <c r="O63" i="18" s="1" a="1"/>
  <c r="O63" i="18" s="1"/>
  <c r="H85" i="18" s="1"/>
  <c r="K42" i="18"/>
  <c r="D44" i="18" s="1"/>
  <c r="D45" i="18" s="1"/>
  <c r="K23" i="18"/>
  <c r="D25" i="18" s="1"/>
  <c r="D26" i="18" s="1"/>
  <c r="O25" i="18" s="1" a="1"/>
  <c r="O25" i="18" s="1"/>
  <c r="N7" i="18"/>
  <c r="M101" i="18" s="1"/>
  <c r="O130" i="17"/>
  <c r="O129" i="17"/>
  <c r="O128" i="17"/>
  <c r="M6" i="3"/>
  <c r="N6" i="3"/>
  <c r="O6" i="3"/>
  <c r="P6" i="3"/>
  <c r="N7" i="3"/>
  <c r="O7" i="3"/>
  <c r="P7" i="3"/>
  <c r="N3" i="3"/>
  <c r="O3" i="3"/>
  <c r="P3" i="3"/>
  <c r="N4" i="3"/>
  <c r="O4" i="3"/>
  <c r="P4" i="3"/>
  <c r="N5" i="3"/>
  <c r="O5" i="3"/>
  <c r="P5" i="3"/>
  <c r="B21" i="18" a="1"/>
  <c r="B19" i="18" a="1"/>
  <c r="B17" i="18" a="1"/>
  <c r="B40" i="18" a="1"/>
  <c r="B36" i="18" a="1"/>
  <c r="B55" i="18" a="1"/>
  <c r="H62" i="18" a="1"/>
  <c r="J53" i="18" a="1"/>
  <c r="B57" i="18" a="1"/>
  <c r="B59" i="18" a="1"/>
  <c r="H43" i="18" a="1"/>
  <c r="J15" i="18" a="1"/>
  <c r="B38" i="18" a="1"/>
  <c r="J34" i="18" a="1"/>
  <c r="H24" i="18" a="1"/>
  <c r="B57" i="18" l="1"/>
  <c r="B59" i="18"/>
  <c r="B55" i="18"/>
  <c r="B21" i="18"/>
  <c r="H43" i="18"/>
  <c r="B36" i="18"/>
  <c r="B17" i="18"/>
  <c r="B19" i="18"/>
  <c r="J34" i="18"/>
  <c r="H24" i="18"/>
  <c r="B38" i="18"/>
  <c r="J15" i="18"/>
  <c r="B40" i="18"/>
  <c r="H62" i="18"/>
  <c r="J53" i="18"/>
  <c r="D85" i="18"/>
  <c r="M100" i="18"/>
  <c r="P128" i="18" a="1"/>
  <c r="P128" i="18" s="1"/>
  <c r="N69" i="18"/>
  <c r="Q128" i="18" a="1"/>
  <c r="Q128" i="18" s="1"/>
  <c r="G128" i="18" a="1"/>
  <c r="G128" i="18" s="1"/>
  <c r="N7" i="17"/>
  <c r="N69" i="17" s="1"/>
  <c r="N130" i="17"/>
  <c r="K130" i="17"/>
  <c r="M130" i="17" s="1"/>
  <c r="J130" i="17"/>
  <c r="L130" i="17" s="1"/>
  <c r="H130" i="17"/>
  <c r="F130" i="17"/>
  <c r="E130" i="17"/>
  <c r="D130" i="17"/>
  <c r="N129" i="17"/>
  <c r="K129" i="17"/>
  <c r="M129" i="17" s="1"/>
  <c r="J129" i="17"/>
  <c r="L129" i="17" s="1"/>
  <c r="H129" i="17"/>
  <c r="F129" i="17"/>
  <c r="E129" i="17"/>
  <c r="D129" i="17"/>
  <c r="N128" i="17"/>
  <c r="K128" i="17"/>
  <c r="M128" i="17" s="1"/>
  <c r="J128" i="17"/>
  <c r="L128" i="17" s="1"/>
  <c r="H128" i="17"/>
  <c r="F128" i="17"/>
  <c r="E128" i="17"/>
  <c r="D128" i="17"/>
  <c r="M98" i="17"/>
  <c r="H87" i="17"/>
  <c r="F87" i="17"/>
  <c r="D87" i="17"/>
  <c r="H83" i="17"/>
  <c r="F83" i="17"/>
  <c r="D83" i="17"/>
  <c r="J69" i="17"/>
  <c r="E69" i="17"/>
  <c r="K61" i="17"/>
  <c r="D63" i="17" s="1"/>
  <c r="D64" i="17" s="1"/>
  <c r="O63" i="17" s="1" a="1"/>
  <c r="O63" i="17" s="1"/>
  <c r="H85" i="17" s="1"/>
  <c r="K42" i="17"/>
  <c r="D44" i="17" s="1"/>
  <c r="D45" i="17" s="1"/>
  <c r="K23" i="17"/>
  <c r="D25" i="17" s="1"/>
  <c r="D26" i="17" s="1"/>
  <c r="O25" i="17" s="1" a="1"/>
  <c r="O25" i="17" s="1"/>
  <c r="M99" i="16"/>
  <c r="D131" i="16"/>
  <c r="O131" i="16"/>
  <c r="N131" i="16"/>
  <c r="K131" i="16"/>
  <c r="J131" i="16"/>
  <c r="I131" i="16"/>
  <c r="H131" i="16"/>
  <c r="F131" i="16"/>
  <c r="E131" i="16"/>
  <c r="O130" i="16"/>
  <c r="N130" i="16"/>
  <c r="K130" i="16"/>
  <c r="J130" i="16"/>
  <c r="I130" i="16"/>
  <c r="H130" i="16"/>
  <c r="P9" i="11"/>
  <c r="O9" i="11"/>
  <c r="M9" i="11"/>
  <c r="L9" i="11"/>
  <c r="K9" i="11"/>
  <c r="H9" i="11" s="1"/>
  <c r="K9" i="9"/>
  <c r="K9" i="10"/>
  <c r="L9" i="10"/>
  <c r="M9" i="10"/>
  <c r="P9" i="10"/>
  <c r="O9" i="10"/>
  <c r="N9" i="10"/>
  <c r="O129" i="16"/>
  <c r="N129" i="16"/>
  <c r="K129" i="16"/>
  <c r="J129" i="16"/>
  <c r="I129" i="16"/>
  <c r="H129" i="16"/>
  <c r="K62" i="16"/>
  <c r="Z129" i="18" a="1"/>
  <c r="B57" i="17" a="1"/>
  <c r="J15" i="17" a="1"/>
  <c r="R129" i="18" a="1"/>
  <c r="H62" i="17" a="1"/>
  <c r="R130" i="18" a="1"/>
  <c r="B40" i="17" a="1"/>
  <c r="J34" i="17" a="1"/>
  <c r="B55" i="17" a="1"/>
  <c r="B38" i="17" a="1"/>
  <c r="R129" i="17" a="1"/>
  <c r="T129" i="17" a="1"/>
  <c r="T129" i="18" a="1"/>
  <c r="H43" i="17" a="1"/>
  <c r="Z130" i="18" a="1"/>
  <c r="B59" i="17" a="1"/>
  <c r="B17" i="17" a="1"/>
  <c r="B19" i="17" a="1"/>
  <c r="T130" i="18" a="1"/>
  <c r="B21" i="17" a="1"/>
  <c r="H24" i="17" a="1"/>
  <c r="B36" i="17" a="1"/>
  <c r="AA129" i="17" a="1"/>
  <c r="J53" i="17" a="1"/>
  <c r="M100" i="17" l="1"/>
  <c r="M101" i="17"/>
  <c r="AI128" i="17" a="1"/>
  <c r="AI128" i="17" s="1"/>
  <c r="AC128" i="17" a="1"/>
  <c r="AC128" i="17" s="1"/>
  <c r="T130" i="18"/>
  <c r="U130" i="18" s="1"/>
  <c r="R130" i="18"/>
  <c r="S130" i="18" s="1"/>
  <c r="Z129" i="18"/>
  <c r="AA129" i="18" s="1"/>
  <c r="R129" i="18"/>
  <c r="S129" i="18" s="1"/>
  <c r="Z130" i="18"/>
  <c r="AA130" i="18" s="1"/>
  <c r="T129" i="18"/>
  <c r="U129" i="18" s="1"/>
  <c r="F76" i="18"/>
  <c r="D76" i="18"/>
  <c r="A128" i="18"/>
  <c r="H76" i="18"/>
  <c r="Q128" i="17" a="1"/>
  <c r="Q128" i="17" s="1"/>
  <c r="R129" i="17"/>
  <c r="S129" i="17" s="1"/>
  <c r="J15" i="17"/>
  <c r="H43" i="17"/>
  <c r="B59" i="17"/>
  <c r="B38" i="17"/>
  <c r="B36" i="17"/>
  <c r="B17" i="17"/>
  <c r="J53" i="17"/>
  <c r="T129" i="17"/>
  <c r="U129" i="17" s="1"/>
  <c r="H24" i="17"/>
  <c r="B40" i="17"/>
  <c r="B19" i="17"/>
  <c r="B55" i="17"/>
  <c r="J34" i="17"/>
  <c r="H62" i="17"/>
  <c r="B21" i="17"/>
  <c r="B57" i="17"/>
  <c r="AA129" i="17"/>
  <c r="AB129" i="17" s="1"/>
  <c r="D85" i="17"/>
  <c r="G128" i="17" a="1"/>
  <c r="G128" i="17" s="1"/>
  <c r="AJ128" i="17" a="1"/>
  <c r="AJ128" i="17" s="1"/>
  <c r="P128" i="17" a="1"/>
  <c r="P128" i="17" s="1"/>
  <c r="F9" i="11"/>
  <c r="I9" i="11" s="1"/>
  <c r="H9" i="10"/>
  <c r="J9" i="10"/>
  <c r="F9" i="10"/>
  <c r="I9" i="10" s="1"/>
  <c r="K43" i="16"/>
  <c r="D45" i="16" s="1"/>
  <c r="K23" i="16"/>
  <c r="D25" i="16" s="1"/>
  <c r="D26" i="16" s="1"/>
  <c r="O25" i="16" s="1" a="1"/>
  <c r="O25" i="16" s="1"/>
  <c r="D86" i="16" s="1"/>
  <c r="D130" i="16"/>
  <c r="D129" i="16"/>
  <c r="F130" i="16"/>
  <c r="E130" i="16"/>
  <c r="F129" i="16"/>
  <c r="AO129" i="16" s="1" a="1"/>
  <c r="AO129" i="16" s="1"/>
  <c r="E129" i="16"/>
  <c r="M131" i="16"/>
  <c r="L131" i="16"/>
  <c r="M130" i="16"/>
  <c r="L130" i="16"/>
  <c r="M129" i="16"/>
  <c r="L129" i="16"/>
  <c r="M102" i="16"/>
  <c r="M101" i="16"/>
  <c r="H88" i="16"/>
  <c r="F88" i="16"/>
  <c r="D88" i="16"/>
  <c r="H84" i="16"/>
  <c r="F84" i="16"/>
  <c r="D84" i="16"/>
  <c r="O70" i="16"/>
  <c r="J70" i="16"/>
  <c r="E70" i="16"/>
  <c r="D64" i="16"/>
  <c r="D65" i="16" s="1"/>
  <c r="O64" i="16" s="1" a="1"/>
  <c r="O64" i="16" s="1"/>
  <c r="H86" i="16" s="1"/>
  <c r="B19" i="16" a="1"/>
  <c r="H44" i="16" a="1"/>
  <c r="T130" i="17" a="1"/>
  <c r="F47" i="16" a="1"/>
  <c r="J15" i="16" a="1"/>
  <c r="H63" i="16" a="1"/>
  <c r="B41" i="16" a="1"/>
  <c r="B56" i="16" a="1"/>
  <c r="B17" i="16" a="1"/>
  <c r="B21" i="16" a="1"/>
  <c r="AA130" i="17" a="1"/>
  <c r="R130" i="17" a="1"/>
  <c r="B58" i="16" a="1"/>
  <c r="B37" i="16" a="1"/>
  <c r="B39" i="16" a="1"/>
  <c r="H24" i="16" a="1"/>
  <c r="J54" i="16" a="1"/>
  <c r="J35" i="16" a="1"/>
  <c r="B60" i="16" a="1"/>
  <c r="R130" i="17" l="1"/>
  <c r="T130" i="17"/>
  <c r="U130" i="17" s="1"/>
  <c r="AA130" i="17"/>
  <c r="F76" i="17"/>
  <c r="D76" i="17"/>
  <c r="A128" i="17"/>
  <c r="H76" i="17"/>
  <c r="F47" i="16"/>
  <c r="Q129" i="16" a="1"/>
  <c r="Q129" i="16" s="1"/>
  <c r="J54" i="16"/>
  <c r="D46" i="16"/>
  <c r="G129" i="16" a="1"/>
  <c r="G129" i="16" s="1"/>
  <c r="AD129" i="16" a="1"/>
  <c r="AD129" i="16" s="1"/>
  <c r="AC129" i="16" a="1"/>
  <c r="AC129" i="16" s="1"/>
  <c r="AI129" i="16" a="1"/>
  <c r="AI129" i="16" s="1"/>
  <c r="P129" i="16" a="1"/>
  <c r="P129" i="16" s="1"/>
  <c r="J35" i="16"/>
  <c r="H24" i="16"/>
  <c r="B58" i="16"/>
  <c r="H63" i="16"/>
  <c r="B19" i="16"/>
  <c r="B37" i="16"/>
  <c r="B21" i="16"/>
  <c r="J15" i="16"/>
  <c r="B60" i="16"/>
  <c r="B56" i="16"/>
  <c r="B39" i="16"/>
  <c r="H44" i="16"/>
  <c r="B17" i="16"/>
  <c r="B41" i="16"/>
  <c r="K41" i="11"/>
  <c r="P41" i="11" s="1"/>
  <c r="K40" i="11"/>
  <c r="K39" i="11"/>
  <c r="P39" i="11" s="1"/>
  <c r="K38" i="11"/>
  <c r="K37" i="11"/>
  <c r="P37" i="11" s="1"/>
  <c r="K36" i="11"/>
  <c r="K35" i="11"/>
  <c r="P35" i="11" s="1"/>
  <c r="K34" i="11"/>
  <c r="K33" i="11"/>
  <c r="P33" i="11" s="1"/>
  <c r="K32" i="11"/>
  <c r="K31" i="11"/>
  <c r="P31" i="11" s="1"/>
  <c r="K30" i="11"/>
  <c r="K29" i="11"/>
  <c r="P29" i="11" s="1"/>
  <c r="K28" i="11"/>
  <c r="K27" i="11"/>
  <c r="P27" i="11" s="1"/>
  <c r="K26" i="11"/>
  <c r="K25" i="11"/>
  <c r="P25" i="11" s="1"/>
  <c r="K24" i="11"/>
  <c r="K23" i="11"/>
  <c r="P23" i="11" s="1"/>
  <c r="K22" i="11"/>
  <c r="K21" i="11"/>
  <c r="P21" i="11" s="1"/>
  <c r="K20" i="11"/>
  <c r="K19" i="11"/>
  <c r="P19" i="11" s="1"/>
  <c r="K18" i="11"/>
  <c r="K17" i="11"/>
  <c r="P17" i="11" s="1"/>
  <c r="K16" i="11"/>
  <c r="K15" i="11"/>
  <c r="P15" i="11" s="1"/>
  <c r="K14" i="11"/>
  <c r="K13" i="11"/>
  <c r="P13" i="11" s="1"/>
  <c r="K12" i="11"/>
  <c r="K12" i="10"/>
  <c r="F12" i="10"/>
  <c r="O27" i="10"/>
  <c r="O26" i="10"/>
  <c r="O25" i="10"/>
  <c r="O24" i="10"/>
  <c r="O23" i="10"/>
  <c r="O22" i="10"/>
  <c r="O21" i="10"/>
  <c r="O20" i="10"/>
  <c r="O19" i="10"/>
  <c r="O18" i="10"/>
  <c r="O17" i="10"/>
  <c r="O16" i="10"/>
  <c r="O15" i="10"/>
  <c r="O41" i="9"/>
  <c r="O40" i="9"/>
  <c r="O39" i="9"/>
  <c r="O38" i="9"/>
  <c r="O37" i="9"/>
  <c r="O36" i="9"/>
  <c r="O35" i="9"/>
  <c r="O34" i="9"/>
  <c r="O33" i="9"/>
  <c r="O32" i="9"/>
  <c r="O31" i="9"/>
  <c r="O30" i="9"/>
  <c r="O29" i="9"/>
  <c r="O28" i="9"/>
  <c r="O27" i="9"/>
  <c r="O26" i="9"/>
  <c r="O25" i="9"/>
  <c r="O24" i="9"/>
  <c r="O23" i="9"/>
  <c r="O22" i="9"/>
  <c r="O21" i="9"/>
  <c r="O20" i="9"/>
  <c r="O19" i="9"/>
  <c r="O9" i="9" s="1"/>
  <c r="O18" i="9"/>
  <c r="O17" i="9"/>
  <c r="O16" i="9"/>
  <c r="O15" i="9"/>
  <c r="O14" i="9"/>
  <c r="O13" i="9"/>
  <c r="O12" i="9"/>
  <c r="P12" i="9"/>
  <c r="P35" i="9"/>
  <c r="P31" i="9"/>
  <c r="P27" i="9"/>
  <c r="P23" i="9"/>
  <c r="P18" i="10"/>
  <c r="K27" i="10"/>
  <c r="P27" i="10" s="1"/>
  <c r="K26" i="10"/>
  <c r="P26" i="10" s="1"/>
  <c r="K25" i="10"/>
  <c r="P25" i="10" s="1"/>
  <c r="K24" i="10"/>
  <c r="L24" i="10" s="1"/>
  <c r="M24" i="10" s="1"/>
  <c r="K23" i="10"/>
  <c r="P23" i="10" s="1"/>
  <c r="K22" i="10"/>
  <c r="P22" i="10" s="1"/>
  <c r="K21" i="10"/>
  <c r="P21" i="10" s="1"/>
  <c r="K20" i="10"/>
  <c r="P20" i="10" s="1"/>
  <c r="K19" i="10"/>
  <c r="P19" i="10" s="1"/>
  <c r="K18" i="10"/>
  <c r="K17" i="10"/>
  <c r="P17" i="10" s="1"/>
  <c r="K16" i="10"/>
  <c r="L16" i="10" s="1"/>
  <c r="M16" i="10" s="1"/>
  <c r="K15" i="10"/>
  <c r="P15" i="10" s="1"/>
  <c r="K14" i="10"/>
  <c r="P14" i="10" s="1"/>
  <c r="K13" i="10"/>
  <c r="P13" i="10" s="1"/>
  <c r="K16" i="9"/>
  <c r="P16" i="9" s="1"/>
  <c r="K17" i="9"/>
  <c r="P17" i="9" s="1"/>
  <c r="K18" i="9"/>
  <c r="L18" i="9" s="1"/>
  <c r="M18" i="9" s="1"/>
  <c r="K19" i="9"/>
  <c r="L19" i="9" s="1"/>
  <c r="K20" i="9"/>
  <c r="L20" i="9" s="1"/>
  <c r="N20" i="9" s="1"/>
  <c r="K21" i="9"/>
  <c r="P21" i="9" s="1"/>
  <c r="K22" i="9"/>
  <c r="L22" i="9" s="1"/>
  <c r="F2" i="8"/>
  <c r="G2" i="8" s="1"/>
  <c r="K23" i="9"/>
  <c r="K24" i="9"/>
  <c r="P24" i="9" s="1"/>
  <c r="K25" i="9"/>
  <c r="L25" i="9" s="1"/>
  <c r="K26" i="9"/>
  <c r="P26" i="9" s="1"/>
  <c r="K27" i="9"/>
  <c r="L27" i="9" s="1"/>
  <c r="K28" i="9"/>
  <c r="P28" i="9" s="1"/>
  <c r="K29" i="9"/>
  <c r="L29" i="9" s="1"/>
  <c r="K30" i="9"/>
  <c r="P30" i="9" s="1"/>
  <c r="K31" i="9"/>
  <c r="L31" i="9" s="1"/>
  <c r="K32" i="9"/>
  <c r="P32" i="9" s="1"/>
  <c r="K33" i="9"/>
  <c r="L33" i="9" s="1"/>
  <c r="K34" i="9"/>
  <c r="P34" i="9" s="1"/>
  <c r="K35" i="9"/>
  <c r="L35" i="9"/>
  <c r="K36" i="9"/>
  <c r="P36" i="9" s="1"/>
  <c r="K37" i="9"/>
  <c r="L37" i="9" s="1"/>
  <c r="K38" i="9"/>
  <c r="P38" i="9" s="1"/>
  <c r="K39" i="9"/>
  <c r="L39" i="9" s="1"/>
  <c r="K40" i="9"/>
  <c r="L40" i="9" s="1"/>
  <c r="K41" i="9"/>
  <c r="P41" i="9" s="1"/>
  <c r="K15" i="9"/>
  <c r="P15" i="9" s="1"/>
  <c r="K14" i="9"/>
  <c r="P14" i="9" s="1"/>
  <c r="K13" i="9"/>
  <c r="P13" i="9" s="1"/>
  <c r="K12" i="9"/>
  <c r="F9" i="8"/>
  <c r="G9" i="8" s="1"/>
  <c r="F8" i="8"/>
  <c r="G8" i="8" s="1"/>
  <c r="F7" i="8"/>
  <c r="G7" i="8" s="1"/>
  <c r="F6" i="8"/>
  <c r="G6" i="8" s="1"/>
  <c r="F5" i="8"/>
  <c r="G5" i="8" s="1"/>
  <c r="F4" i="8"/>
  <c r="G4" i="8" s="1"/>
  <c r="F3" i="8"/>
  <c r="G3" i="8" s="1"/>
  <c r="B4" i="14"/>
  <c r="D4" i="14"/>
  <c r="C4" i="14"/>
  <c r="M19" i="9" l="1"/>
  <c r="M9" i="9" s="1"/>
  <c r="L9" i="9"/>
  <c r="AB130" i="17"/>
  <c r="S130" i="17"/>
  <c r="D77" i="16"/>
  <c r="A129" i="16"/>
  <c r="F77" i="16"/>
  <c r="H77" i="16"/>
  <c r="N38" i="11"/>
  <c r="N40" i="11"/>
  <c r="N34" i="11"/>
  <c r="O12" i="11"/>
  <c r="O14" i="11"/>
  <c r="O16" i="11"/>
  <c r="O18" i="11"/>
  <c r="O20" i="11"/>
  <c r="O22" i="11"/>
  <c r="O24" i="11"/>
  <c r="O26" i="11"/>
  <c r="O28" i="11"/>
  <c r="O30" i="11"/>
  <c r="O32" i="11"/>
  <c r="O34" i="11"/>
  <c r="O36" i="11"/>
  <c r="O38" i="11"/>
  <c r="O40" i="11"/>
  <c r="L12" i="11"/>
  <c r="P14" i="11"/>
  <c r="L16" i="11"/>
  <c r="N16" i="11" s="1"/>
  <c r="P18" i="11"/>
  <c r="L20" i="11"/>
  <c r="M20" i="11" s="1"/>
  <c r="P22" i="11"/>
  <c r="L24" i="11"/>
  <c r="N24" i="11" s="1"/>
  <c r="P28" i="11"/>
  <c r="L30" i="11"/>
  <c r="N30" i="11" s="1"/>
  <c r="P32" i="11"/>
  <c r="L34" i="11"/>
  <c r="P36" i="11"/>
  <c r="L38" i="11"/>
  <c r="O13" i="11"/>
  <c r="O15" i="11"/>
  <c r="O17" i="11"/>
  <c r="O19" i="11"/>
  <c r="O21" i="11"/>
  <c r="O23" i="11"/>
  <c r="M24" i="11"/>
  <c r="O25" i="11"/>
  <c r="M26" i="11"/>
  <c r="O27" i="11"/>
  <c r="O29" i="11"/>
  <c r="M30" i="11"/>
  <c r="O31" i="11"/>
  <c r="O33" i="11"/>
  <c r="M34" i="11"/>
  <c r="O35" i="11"/>
  <c r="O37" i="11"/>
  <c r="M38" i="11"/>
  <c r="O39" i="11"/>
  <c r="O41" i="11"/>
  <c r="P12" i="11"/>
  <c r="L14" i="11"/>
  <c r="N14" i="11" s="1"/>
  <c r="P16" i="11"/>
  <c r="L18" i="11"/>
  <c r="N18" i="11" s="1"/>
  <c r="P20" i="11"/>
  <c r="L22" i="11"/>
  <c r="M22" i="11" s="1"/>
  <c r="P24" i="11"/>
  <c r="L26" i="11"/>
  <c r="N26" i="11" s="1"/>
  <c r="P26" i="11"/>
  <c r="L28" i="11"/>
  <c r="N28" i="11" s="1"/>
  <c r="P30" i="11"/>
  <c r="L32" i="11"/>
  <c r="M32" i="11" s="1"/>
  <c r="P34" i="11"/>
  <c r="L36" i="11"/>
  <c r="M36" i="11" s="1"/>
  <c r="P38" i="11"/>
  <c r="L40" i="11"/>
  <c r="M40" i="11" s="1"/>
  <c r="P40" i="11"/>
  <c r="L13" i="11"/>
  <c r="L15" i="11"/>
  <c r="L17" i="11"/>
  <c r="L19" i="11"/>
  <c r="L21" i="11"/>
  <c r="L23" i="11"/>
  <c r="L25" i="11"/>
  <c r="L27" i="11"/>
  <c r="L29" i="11"/>
  <c r="L31" i="11"/>
  <c r="L33" i="11"/>
  <c r="L35" i="11"/>
  <c r="L37" i="11"/>
  <c r="L39" i="11"/>
  <c r="L41" i="11"/>
  <c r="O13" i="10"/>
  <c r="O14" i="10"/>
  <c r="L14" i="10"/>
  <c r="N14" i="10" s="1"/>
  <c r="L21" i="10"/>
  <c r="P20" i="9"/>
  <c r="P40" i="9"/>
  <c r="P19" i="9"/>
  <c r="P9" i="9" s="1"/>
  <c r="P39" i="9"/>
  <c r="P25" i="9"/>
  <c r="P29" i="9"/>
  <c r="P33" i="9"/>
  <c r="P37" i="9"/>
  <c r="P18" i="9"/>
  <c r="P22" i="9"/>
  <c r="L22" i="10"/>
  <c r="N22" i="10" s="1"/>
  <c r="P16" i="10"/>
  <c r="P24" i="10"/>
  <c r="L20" i="10"/>
  <c r="M20" i="10" s="1"/>
  <c r="N21" i="10"/>
  <c r="L13" i="10"/>
  <c r="N13" i="10" s="1"/>
  <c r="N16" i="10"/>
  <c r="L18" i="10"/>
  <c r="M18" i="10" s="1"/>
  <c r="M21" i="10"/>
  <c r="N24" i="10"/>
  <c r="L26" i="10"/>
  <c r="N26" i="10" s="1"/>
  <c r="L15" i="10"/>
  <c r="M15" i="10" s="1"/>
  <c r="L23" i="10"/>
  <c r="M23" i="10" s="1"/>
  <c r="M26" i="10"/>
  <c r="L17" i="10"/>
  <c r="M17" i="10" s="1"/>
  <c r="L25" i="10"/>
  <c r="M25" i="10" s="1"/>
  <c r="L19" i="10"/>
  <c r="N19" i="10" s="1"/>
  <c r="M22" i="10"/>
  <c r="N25" i="10"/>
  <c r="L27" i="10"/>
  <c r="N27" i="10" s="1"/>
  <c r="N27" i="9"/>
  <c r="N39" i="9"/>
  <c r="N37" i="9"/>
  <c r="N35" i="9"/>
  <c r="L28" i="9"/>
  <c r="N28" i="9" s="1"/>
  <c r="L36" i="9"/>
  <c r="N36" i="9" s="1"/>
  <c r="N40" i="9"/>
  <c r="L41" i="9"/>
  <c r="N41" i="9" s="1"/>
  <c r="L32" i="9"/>
  <c r="N32" i="9" s="1"/>
  <c r="L23" i="9"/>
  <c r="N23" i="9" s="1"/>
  <c r="N31" i="9"/>
  <c r="M22" i="9"/>
  <c r="M20" i="9"/>
  <c r="N18" i="9"/>
  <c r="L24" i="9"/>
  <c r="N24" i="9" s="1"/>
  <c r="N25" i="9"/>
  <c r="N29" i="9"/>
  <c r="N33" i="9"/>
  <c r="N22" i="9"/>
  <c r="L16" i="9"/>
  <c r="N16" i="9" s="1"/>
  <c r="L21" i="9"/>
  <c r="N21" i="9" s="1"/>
  <c r="N19" i="9"/>
  <c r="N9" i="9" s="1"/>
  <c r="L17" i="9"/>
  <c r="N17" i="9" s="1"/>
  <c r="M39" i="9"/>
  <c r="M31" i="9"/>
  <c r="M40" i="9"/>
  <c r="M28" i="9"/>
  <c r="M35" i="9"/>
  <c r="M27" i="9"/>
  <c r="M41" i="9"/>
  <c r="L38" i="9"/>
  <c r="M38" i="9" s="1"/>
  <c r="M37" i="9"/>
  <c r="L34" i="9"/>
  <c r="M33" i="9"/>
  <c r="L30" i="9"/>
  <c r="M29" i="9"/>
  <c r="L26" i="9"/>
  <c r="M26" i="9" s="1"/>
  <c r="M25" i="9"/>
  <c r="L14" i="9"/>
  <c r="L15" i="9"/>
  <c r="N15" i="9" s="1"/>
  <c r="L12" i="9"/>
  <c r="L13" i="9"/>
  <c r="M13" i="9" s="1"/>
  <c r="R128" i="18" a="1"/>
  <c r="AA130" i="16" a="1"/>
  <c r="R129" i="16" a="1"/>
  <c r="AA128" i="17" a="1"/>
  <c r="R128" i="17" a="1"/>
  <c r="T128" i="17" a="1"/>
  <c r="T128" i="18" a="1"/>
  <c r="Z128" i="18" a="1"/>
  <c r="Z128" i="18" l="1"/>
  <c r="AA128" i="18" s="1"/>
  <c r="AA128" i="17"/>
  <c r="AB128" i="17" s="1"/>
  <c r="AL128" i="17" s="1" a="1"/>
  <c r="AL128" i="17" s="1"/>
  <c r="T128" i="18"/>
  <c r="U128" i="18" s="1"/>
  <c r="T128" i="17"/>
  <c r="U128" i="17" s="1"/>
  <c r="R128" i="18"/>
  <c r="S128" i="18" s="1"/>
  <c r="R128" i="17"/>
  <c r="S128" i="17" s="1"/>
  <c r="AE128" i="17" s="1" a="1"/>
  <c r="R129" i="16"/>
  <c r="F9" i="9"/>
  <c r="AA130" i="16"/>
  <c r="AB130" i="16" s="1"/>
  <c r="M16" i="11"/>
  <c r="M18" i="11"/>
  <c r="N37" i="11"/>
  <c r="M37" i="11"/>
  <c r="N21" i="11"/>
  <c r="N9" i="11" s="1"/>
  <c r="M21" i="11"/>
  <c r="N27" i="11"/>
  <c r="M27" i="11"/>
  <c r="N19" i="11"/>
  <c r="M19" i="11"/>
  <c r="N36" i="11"/>
  <c r="N41" i="11"/>
  <c r="M41" i="11"/>
  <c r="N33" i="11"/>
  <c r="M33" i="11"/>
  <c r="N25" i="11"/>
  <c r="M25" i="11"/>
  <c r="N17" i="11"/>
  <c r="M17" i="11"/>
  <c r="N32" i="11"/>
  <c r="N22" i="11"/>
  <c r="N29" i="11"/>
  <c r="M29" i="11"/>
  <c r="M13" i="11"/>
  <c r="N13" i="11"/>
  <c r="N35" i="11"/>
  <c r="M35" i="11"/>
  <c r="M14" i="11"/>
  <c r="N20" i="11"/>
  <c r="N39" i="11"/>
  <c r="M39" i="11"/>
  <c r="N31" i="11"/>
  <c r="M31" i="11"/>
  <c r="N23" i="11"/>
  <c r="M23" i="11"/>
  <c r="N15" i="11"/>
  <c r="M15" i="11"/>
  <c r="M28" i="11"/>
  <c r="M12" i="11"/>
  <c r="N12" i="11"/>
  <c r="M14" i="10"/>
  <c r="N18" i="10"/>
  <c r="N23" i="10"/>
  <c r="M19" i="10"/>
  <c r="N20" i="10"/>
  <c r="N15" i="10"/>
  <c r="M13" i="10"/>
  <c r="N17" i="10"/>
  <c r="M27" i="10"/>
  <c r="M24" i="9"/>
  <c r="M36" i="9"/>
  <c r="M17" i="9"/>
  <c r="N26" i="9"/>
  <c r="M32" i="9"/>
  <c r="N38" i="9"/>
  <c r="M30" i="9"/>
  <c r="N30" i="9"/>
  <c r="N13" i="9"/>
  <c r="M34" i="9"/>
  <c r="N34" i="9"/>
  <c r="M23" i="9"/>
  <c r="M16" i="9"/>
  <c r="M15" i="9"/>
  <c r="M21" i="9"/>
  <c r="M14" i="9"/>
  <c r="N14" i="9"/>
  <c r="M12" i="9"/>
  <c r="N12" i="9"/>
  <c r="T131" i="16" a="1"/>
  <c r="T129" i="16" a="1"/>
  <c r="T130" i="16" a="1"/>
  <c r="AA131" i="16" a="1"/>
  <c r="R130" i="16" a="1"/>
  <c r="V128" i="17" l="1" a="1"/>
  <c r="V128" i="17" s="1"/>
  <c r="AD128" i="17" a="1"/>
  <c r="AD128" i="17" s="1"/>
  <c r="AF128" i="17" s="1" a="1"/>
  <c r="AF128" i="17" s="1"/>
  <c r="AK128" i="17" a="1"/>
  <c r="AK128" i="17" s="1"/>
  <c r="AM128" i="17" s="1"/>
  <c r="C128" i="17" s="1"/>
  <c r="Y128" i="17" a="1"/>
  <c r="Y128" i="17" s="1"/>
  <c r="V128" i="18" a="1"/>
  <c r="V128" i="18" s="1"/>
  <c r="AC128" i="18" a="1"/>
  <c r="AC128" i="18" s="1"/>
  <c r="AE128" i="18" s="1" a="1"/>
  <c r="AE128" i="18" s="1"/>
  <c r="W128" i="17" a="1"/>
  <c r="W128" i="17" s="1"/>
  <c r="J24" i="17" s="1"/>
  <c r="K24" i="17" s="1"/>
  <c r="D24" i="17" s="1" a="1"/>
  <c r="D24" i="17" s="1"/>
  <c r="AD128" i="18" a="1"/>
  <c r="Y128" i="18" a="1"/>
  <c r="Y128" i="18" s="1"/>
  <c r="W128" i="18" a="1"/>
  <c r="J9" i="11"/>
  <c r="AE128" i="17"/>
  <c r="R130" i="16"/>
  <c r="S130" i="16" s="1"/>
  <c r="T130" i="16"/>
  <c r="U130" i="16" s="1"/>
  <c r="AA131" i="16"/>
  <c r="AB131" i="16" s="1"/>
  <c r="T129" i="16"/>
  <c r="U129" i="16" s="1"/>
  <c r="T131" i="16"/>
  <c r="U131" i="16" s="1"/>
  <c r="H9" i="9"/>
  <c r="X131" i="16" a="1"/>
  <c r="R131" i="16" a="1"/>
  <c r="X130" i="16" a="1"/>
  <c r="F66" i="16" a="1"/>
  <c r="X129" i="16" a="1"/>
  <c r="AG129" i="17" l="1"/>
  <c r="B129" i="17" s="1"/>
  <c r="F79" i="17" s="1"/>
  <c r="AM130" i="17"/>
  <c r="C130" i="17" s="1"/>
  <c r="AG128" i="17"/>
  <c r="B128" i="17" s="1"/>
  <c r="D79" i="17" s="1"/>
  <c r="AG130" i="17"/>
  <c r="B130" i="17" s="1"/>
  <c r="H79" i="17" s="1"/>
  <c r="AM129" i="17"/>
  <c r="F81" i="17" s="1"/>
  <c r="J43" i="17"/>
  <c r="K43" i="17" s="1"/>
  <c r="D43" i="17" s="1" a="1"/>
  <c r="D43" i="17" s="1"/>
  <c r="O44" i="17" s="1" a="1"/>
  <c r="O44" i="17" s="1"/>
  <c r="F85" i="17" s="1"/>
  <c r="W128" i="18"/>
  <c r="J24" i="18" s="1"/>
  <c r="K24" i="18" s="1"/>
  <c r="D24" i="18" s="1" a="1"/>
  <c r="D24" i="18" s="1"/>
  <c r="J43" i="18"/>
  <c r="K43" i="18" s="1"/>
  <c r="D43" i="18" s="1" a="1"/>
  <c r="D43" i="18" s="1"/>
  <c r="O44" i="18" s="1" a="1"/>
  <c r="O44" i="18" s="1"/>
  <c r="J62" i="18"/>
  <c r="K62" i="18" s="1"/>
  <c r="D62" i="18" s="1" a="1"/>
  <c r="D62" i="18" s="1"/>
  <c r="J62" i="17"/>
  <c r="K62" i="17" s="1"/>
  <c r="D62" i="17" s="1" a="1"/>
  <c r="D62" i="17" s="1"/>
  <c r="AD128" i="18"/>
  <c r="AF128" i="18" s="1"/>
  <c r="B128" i="18" s="1"/>
  <c r="D79" i="18" s="1"/>
  <c r="AF129" i="18"/>
  <c r="B129" i="18" s="1"/>
  <c r="F79" i="18" s="1"/>
  <c r="AF130" i="18"/>
  <c r="B130" i="18" s="1"/>
  <c r="H79" i="18" s="1"/>
  <c r="AM129" i="16" a="1"/>
  <c r="AM129" i="16" s="1"/>
  <c r="F66" i="16"/>
  <c r="D81" i="17"/>
  <c r="X129" i="16"/>
  <c r="Y129" i="16" s="1"/>
  <c r="X131" i="16"/>
  <c r="Y131" i="16" s="1"/>
  <c r="R131" i="16"/>
  <c r="S131" i="16" s="1"/>
  <c r="X130" i="16"/>
  <c r="Y130" i="16" s="1"/>
  <c r="Z130" i="16" s="1"/>
  <c r="H81" i="17" l="1"/>
  <c r="C129" i="17"/>
  <c r="J71" i="17"/>
  <c r="N79" i="18"/>
  <c r="H103" i="18" s="1"/>
  <c r="D97" i="18"/>
  <c r="N70" i="18" s="1"/>
  <c r="J71" i="18"/>
  <c r="F85" i="18"/>
  <c r="AL129" i="16" a="1"/>
  <c r="AL129" i="16" s="1"/>
  <c r="N81" i="17"/>
  <c r="N79" i="17"/>
  <c r="F97" i="17"/>
  <c r="F96" i="17" s="1"/>
  <c r="D97" i="17"/>
  <c r="J70" i="17" s="1"/>
  <c r="Z131" i="16"/>
  <c r="AA129" i="16" a="1"/>
  <c r="H102" i="18" l="1"/>
  <c r="J100" i="18"/>
  <c r="J101" i="18" s="1"/>
  <c r="N101" i="18" s="1"/>
  <c r="D96" i="18"/>
  <c r="I100" i="18" s="1"/>
  <c r="I101" i="18" s="1"/>
  <c r="H104" i="18"/>
  <c r="J70" i="18"/>
  <c r="D98" i="18"/>
  <c r="K100" i="18" s="1"/>
  <c r="K101" i="18" s="1"/>
  <c r="H102" i="17"/>
  <c r="H103" i="17"/>
  <c r="H104" i="17"/>
  <c r="F98" i="17"/>
  <c r="D96" i="17"/>
  <c r="I100" i="17" s="1"/>
  <c r="I101" i="17" s="1"/>
  <c r="N70" i="17"/>
  <c r="J100" i="17"/>
  <c r="J101" i="17" s="1"/>
  <c r="N101" i="17" s="1"/>
  <c r="D98" i="17"/>
  <c r="K100" i="17" s="1"/>
  <c r="K101" i="17" s="1"/>
  <c r="S129" i="16"/>
  <c r="AA129" i="16"/>
  <c r="AB129" i="16" s="1"/>
  <c r="AE129" i="16" s="1" a="1"/>
  <c r="AE129" i="16" s="1"/>
  <c r="I9" i="9"/>
  <c r="J9" i="9"/>
  <c r="H7" i="7"/>
  <c r="H6" i="7"/>
  <c r="G8" i="7"/>
  <c r="H8" i="7" s="1"/>
  <c r="G7" i="7"/>
  <c r="F7" i="7"/>
  <c r="H9" i="7"/>
  <c r="G10" i="7"/>
  <c r="F9" i="7"/>
  <c r="E9" i="7"/>
  <c r="E8" i="7"/>
  <c r="D10" i="7"/>
  <c r="F10" i="7" s="1"/>
  <c r="D9" i="7"/>
  <c r="D8" i="7"/>
  <c r="D7" i="7"/>
  <c r="H10" i="7"/>
  <c r="G9" i="7"/>
  <c r="F8" i="7"/>
  <c r="E7" i="7"/>
  <c r="G6" i="7"/>
  <c r="F6" i="7"/>
  <c r="E6" i="7"/>
  <c r="D6" i="7"/>
  <c r="F27" i="16" a="1"/>
  <c r="N100" i="18" l="1"/>
  <c r="AR129" i="16" a="1"/>
  <c r="AR129" i="16" s="1"/>
  <c r="AK129" i="16" a="1"/>
  <c r="AK129" i="16" s="1"/>
  <c r="AJ129" i="16" a="1"/>
  <c r="AJ129" i="16" s="1"/>
  <c r="N100" i="17"/>
  <c r="F27" i="16"/>
  <c r="AF129" i="16" a="1"/>
  <c r="AF129" i="16" s="1"/>
  <c r="V129" i="16" a="1"/>
  <c r="V129" i="16" s="1"/>
  <c r="Z129" i="16"/>
  <c r="W129" i="16" a="1"/>
  <c r="J63" i="16" s="1"/>
  <c r="E10" i="7"/>
  <c r="Z6" i="3"/>
  <c r="Z5" i="3"/>
  <c r="M5" i="3"/>
  <c r="Z4" i="3"/>
  <c r="M4" i="3"/>
  <c r="L4" i="3"/>
  <c r="Z3" i="3"/>
  <c r="M3" i="3"/>
  <c r="L3" i="3"/>
  <c r="K3" i="3"/>
  <c r="AP129" i="16" l="1" a="1"/>
  <c r="K63" i="16"/>
  <c r="D63" i="16" s="1" a="1"/>
  <c r="D63" i="16" s="1"/>
  <c r="J44" i="16"/>
  <c r="K44" i="16" s="1"/>
  <c r="D44" i="16" s="1" a="1"/>
  <c r="D44" i="16" s="1"/>
  <c r="O45" i="16" s="1" a="1"/>
  <c r="O45" i="16" s="1"/>
  <c r="W129" i="16"/>
  <c r="AG131" i="16"/>
  <c r="H82" i="16" s="1"/>
  <c r="AG130" i="16"/>
  <c r="F82" i="16" s="1"/>
  <c r="AG129" i="16"/>
  <c r="D82" i="16" s="1"/>
  <c r="AP129" i="16" l="1"/>
  <c r="AS129" i="16" s="1"/>
  <c r="AS130" i="16"/>
  <c r="AS131" i="16"/>
  <c r="C129" i="16" a="1"/>
  <c r="C129" i="16" s="1"/>
  <c r="J24" i="16"/>
  <c r="K24" i="16" s="1"/>
  <c r="D24" i="16" s="1" a="1"/>
  <c r="D24" i="16" s="1"/>
  <c r="F86" i="16"/>
  <c r="J72" i="16"/>
  <c r="F4" i="14"/>
  <c r="N82" i="16" l="1"/>
  <c r="F98" i="16"/>
  <c r="F99" i="16" s="1"/>
  <c r="J4" i="14"/>
  <c r="F97" i="16" l="1"/>
  <c r="B129" i="16" l="1" a="1"/>
  <c r="H80" i="16" s="1"/>
  <c r="B129" i="16" l="1"/>
  <c r="D80" i="16" s="1"/>
  <c r="F80" i="16"/>
  <c r="N80" i="16" l="1"/>
  <c r="H104" i="16" s="1"/>
  <c r="D98" i="16"/>
  <c r="H4" i="14"/>
  <c r="H103" i="16" l="1"/>
  <c r="H105" i="16"/>
  <c r="I4" i="14"/>
  <c r="D99" i="16"/>
  <c r="K101" i="16" s="1"/>
  <c r="K102" i="16" s="1"/>
  <c r="J101" i="16"/>
  <c r="J71" i="16"/>
  <c r="D97" i="16"/>
  <c r="I101" i="16" s="1"/>
  <c r="I102" i="16" s="1"/>
  <c r="O71" i="16"/>
  <c r="E4" i="14"/>
  <c r="J102" i="16" l="1"/>
  <c r="N102" i="16" s="1"/>
  <c r="N101"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<sst xmlns="http://schemas.openxmlformats.org/spreadsheetml/2006/main" count="1063" uniqueCount="456">
  <si>
    <t>STR</t>
  </si>
  <si>
    <t>β</t>
  </si>
  <si>
    <r>
      <t>β</t>
    </r>
    <r>
      <rPr>
        <i/>
        <vertAlign val="subscript"/>
        <sz val="11"/>
        <color theme="1"/>
        <rFont val="Cambria"/>
        <family val="1"/>
      </rPr>
      <t>D</t>
    </r>
  </si>
  <si>
    <t>M</t>
  </si>
  <si>
    <t>N</t>
  </si>
  <si>
    <t>β multiplier</t>
  </si>
  <si>
    <t>Voting</t>
  </si>
  <si>
    <t xml:space="preserve">For PFD, MooN can tolerate N-M faults </t>
  </si>
  <si>
    <t>1oo3</t>
  </si>
  <si>
    <t>tolerates 0 faults with 3 chances</t>
  </si>
  <si>
    <t>3oo3</t>
  </si>
  <si>
    <t>tolerates 2 faults with 3 chances</t>
  </si>
  <si>
    <t>4oo4</t>
  </si>
  <si>
    <t>tolerates 3 faults with 4 chances</t>
  </si>
  <si>
    <t>PFD</t>
  </si>
  <si>
    <t>1oo4</t>
  </si>
  <si>
    <t>2oo3</t>
  </si>
  <si>
    <t>tolerates 1 fault with 3 chances</t>
  </si>
  <si>
    <t>row</t>
  </si>
  <si>
    <t>col</t>
  </si>
  <si>
    <r>
      <t>MTTF</t>
    </r>
    <r>
      <rPr>
        <b/>
        <i/>
        <vertAlign val="subscript"/>
        <sz val="11"/>
        <color theme="1"/>
        <rFont val="Cambria"/>
        <family val="1"/>
      </rPr>
      <t>S</t>
    </r>
    <r>
      <rPr>
        <b/>
        <i/>
        <sz val="11"/>
        <color theme="1"/>
        <rFont val="Calibri"/>
        <family val="2"/>
        <scheme val="minor"/>
      </rPr>
      <t xml:space="preserve"> </t>
    </r>
    <r>
      <rPr>
        <b/>
        <sz val="11"/>
        <color theme="1"/>
        <rFont val="Calibri"/>
        <family val="2"/>
        <scheme val="minor"/>
      </rPr>
      <t>(years)</t>
    </r>
  </si>
  <si>
    <r>
      <rPr>
        <b/>
        <i/>
        <sz val="11"/>
        <color theme="1"/>
        <rFont val="Calibri"/>
        <family val="2"/>
        <scheme val="minor"/>
      </rPr>
      <t xml:space="preserve">STR </t>
    </r>
    <r>
      <rPr>
        <b/>
        <i/>
        <sz val="11"/>
        <color theme="1"/>
        <rFont val="Cambria"/>
        <family val="1"/>
      </rPr>
      <t xml:space="preserve">β </t>
    </r>
  </si>
  <si>
    <r>
      <t>CCF T</t>
    </r>
    <r>
      <rPr>
        <b/>
        <vertAlign val="subscript"/>
        <sz val="11"/>
        <color theme="1"/>
        <rFont val="Calibri"/>
        <family val="2"/>
        <scheme val="minor"/>
      </rPr>
      <t>1</t>
    </r>
    <r>
      <rPr>
        <b/>
        <sz val="11"/>
        <color theme="1"/>
        <rFont val="Calibri"/>
        <family val="2"/>
        <scheme val="minor"/>
      </rPr>
      <t xml:space="preserve"> term</t>
    </r>
  </si>
  <si>
    <r>
      <t>CCF T</t>
    </r>
    <r>
      <rPr>
        <b/>
        <vertAlign val="subscript"/>
        <sz val="11"/>
        <color theme="1"/>
        <rFont val="Calibri"/>
        <family val="2"/>
        <scheme val="minor"/>
      </rPr>
      <t>2</t>
    </r>
    <r>
      <rPr>
        <b/>
        <sz val="11"/>
        <color theme="1"/>
        <rFont val="Calibri"/>
        <family val="2"/>
        <scheme val="minor"/>
      </rPr>
      <t xml:space="preserve"> term</t>
    </r>
  </si>
  <si>
    <r>
      <t>PFD</t>
    </r>
    <r>
      <rPr>
        <b/>
        <i/>
        <vertAlign val="subscript"/>
        <sz val="11"/>
        <color theme="1"/>
        <rFont val="Calibri"/>
        <family val="2"/>
        <scheme val="minor"/>
      </rPr>
      <t>AVG</t>
    </r>
  </si>
  <si>
    <t>Voted STR term</t>
  </si>
  <si>
    <t>CCF STR term</t>
  </si>
  <si>
    <t>The colour shading highlights the largest term</t>
  </si>
  <si>
    <t>HFT corresponding to MooN architectures</t>
  </si>
  <si>
    <t>Examples to illustrate STR β  multiplier selection</t>
  </si>
  <si>
    <t>STR N-M+1</t>
  </si>
  <si>
    <t>multiplier</t>
  </si>
  <si>
    <t>STR N</t>
  </si>
  <si>
    <t>PTC</t>
  </si>
  <si>
    <t>DC</t>
  </si>
  <si>
    <r>
      <t>PFD</t>
    </r>
    <r>
      <rPr>
        <b/>
        <i/>
        <vertAlign val="subscript"/>
        <sz val="11"/>
        <color theme="1"/>
        <rFont val="Cambria"/>
        <family val="1"/>
      </rPr>
      <t>AVG</t>
    </r>
  </si>
  <si>
    <t>significant figures</t>
  </si>
  <si>
    <t xml:space="preserve"> β for 1oo2 architecture</t>
  </si>
  <si>
    <t xml:space="preserve"> β for MooN architecture</t>
  </si>
  <si>
    <r>
      <rPr>
        <b/>
        <i/>
        <sz val="11"/>
        <color theme="1"/>
        <rFont val="Calibri"/>
        <family val="2"/>
        <scheme val="minor"/>
      </rPr>
      <t xml:space="preserve">MooN </t>
    </r>
    <r>
      <rPr>
        <b/>
        <i/>
        <sz val="11"/>
        <color theme="1"/>
        <rFont val="Cambria"/>
        <family val="1"/>
      </rPr>
      <t xml:space="preserve">β </t>
    </r>
  </si>
  <si>
    <r>
      <rPr>
        <b/>
        <i/>
        <sz val="11"/>
        <color theme="1"/>
        <rFont val="Calibri"/>
        <family val="2"/>
        <scheme val="minor"/>
      </rPr>
      <t xml:space="preserve">MooN </t>
    </r>
    <r>
      <rPr>
        <b/>
        <i/>
        <sz val="11"/>
        <color theme="1"/>
        <rFont val="Cambria"/>
        <family val="1"/>
      </rPr>
      <t>β</t>
    </r>
    <r>
      <rPr>
        <b/>
        <i/>
        <vertAlign val="subscript"/>
        <sz val="11"/>
        <color theme="1"/>
        <rFont val="Cambria"/>
        <family val="1"/>
      </rPr>
      <t>D</t>
    </r>
  </si>
  <si>
    <r>
      <t>CCF λ</t>
    </r>
    <r>
      <rPr>
        <b/>
        <vertAlign val="subscript"/>
        <sz val="11"/>
        <color theme="1"/>
        <rFont val="Calibri"/>
        <family val="2"/>
        <scheme val="minor"/>
      </rPr>
      <t>DD</t>
    </r>
    <r>
      <rPr>
        <b/>
        <sz val="11"/>
        <color theme="1"/>
        <rFont val="Calibri"/>
        <family val="2"/>
        <scheme val="minor"/>
      </rPr>
      <t xml:space="preserve"> term</t>
    </r>
  </si>
  <si>
    <t>Make a separate copy of this sheet to define each different type of safety function</t>
  </si>
  <si>
    <t>Sensor subsystem</t>
  </si>
  <si>
    <t>Enter data only in the shaded cells</t>
  </si>
  <si>
    <t>Use this sheet to convert failure rate units</t>
  </si>
  <si>
    <t>Failure rate per hour</t>
  </si>
  <si>
    <t>Failure rate per year</t>
  </si>
  <si>
    <t>Mean time to or between failure, in years</t>
  </si>
  <si>
    <t>Read the converted rates in this table</t>
  </si>
  <si>
    <r>
      <t>Failure rate per 10</t>
    </r>
    <r>
      <rPr>
        <b/>
        <vertAlign val="superscript"/>
        <sz val="11"/>
        <color theme="1"/>
        <rFont val="Calibri"/>
        <family val="2"/>
        <scheme val="minor"/>
      </rPr>
      <t>6</t>
    </r>
    <r>
      <rPr>
        <b/>
        <sz val="11"/>
        <color theme="1"/>
        <rFont val="Calibri"/>
        <family val="2"/>
        <scheme val="minor"/>
      </rPr>
      <t xml:space="preserve"> hours</t>
    </r>
  </si>
  <si>
    <r>
      <t>FITS (Failure rate per 10</t>
    </r>
    <r>
      <rPr>
        <b/>
        <vertAlign val="superscript"/>
        <sz val="11"/>
        <color theme="1"/>
        <rFont val="Calibri"/>
        <family val="2"/>
        <scheme val="minor"/>
      </rPr>
      <t>9</t>
    </r>
    <r>
      <rPr>
        <b/>
        <sz val="11"/>
        <color theme="1"/>
        <rFont val="Calibri"/>
        <family val="2"/>
        <scheme val="minor"/>
      </rPr>
      <t xml:space="preserve"> hours)</t>
    </r>
  </si>
  <si>
    <t>Reliability data sources used</t>
  </si>
  <si>
    <t>Enter information on this sheet only in the cells shaded:</t>
  </si>
  <si>
    <t>Selection criteria - suitability for use</t>
  </si>
  <si>
    <t>Subsystem Index</t>
  </si>
  <si>
    <t>Ranking</t>
  </si>
  <si>
    <t>Failure Modes</t>
  </si>
  <si>
    <t>Frequency</t>
  </si>
  <si>
    <t>pa</t>
  </si>
  <si>
    <t>Stuck on</t>
  </si>
  <si>
    <t>Remote, unlikely</t>
  </si>
  <si>
    <t>Stuck off</t>
  </si>
  <si>
    <t>Very low</t>
  </si>
  <si>
    <t>Stuck in a fixed position</t>
  </si>
  <si>
    <t>Low</t>
  </si>
  <si>
    <t>Open circuit</t>
  </si>
  <si>
    <t>Moderate, occasional</t>
  </si>
  <si>
    <t>Short circuit</t>
  </si>
  <si>
    <t>Moderate</t>
  </si>
  <si>
    <t>High impedance</t>
  </si>
  <si>
    <t>High</t>
  </si>
  <si>
    <t>Low impedance</t>
  </si>
  <si>
    <t>Very high, repeated</t>
  </si>
  <si>
    <t>Calibration drift</t>
  </si>
  <si>
    <t>Very high, inevitable</t>
  </si>
  <si>
    <t>Oscillation</t>
  </si>
  <si>
    <t>Noise or interference</t>
  </si>
  <si>
    <t>Contamination</t>
  </si>
  <si>
    <t>Deterioration</t>
  </si>
  <si>
    <t>Blockage or clogging</t>
  </si>
  <si>
    <t>Corrosion</t>
  </si>
  <si>
    <t>Vibration</t>
  </si>
  <si>
    <t>Degraded power supply</t>
  </si>
  <si>
    <t>Failure of diagnostics</t>
  </si>
  <si>
    <t>Operates prematurely</t>
  </si>
  <si>
    <t>Rupture</t>
  </si>
  <si>
    <t>Failure mode = event that causes functional failure</t>
  </si>
  <si>
    <t>Failure effect = what happens when a failure mode occurs</t>
  </si>
  <si>
    <t>Eqpt ID</t>
  </si>
  <si>
    <t>Eqpt Description</t>
  </si>
  <si>
    <t>Ref No</t>
  </si>
  <si>
    <t>Component</t>
  </si>
  <si>
    <t>Potential Failure Mode</t>
  </si>
  <si>
    <t>Failure Effect(s)</t>
  </si>
  <si>
    <t>Potential Causes</t>
  </si>
  <si>
    <t>% Dangerous</t>
  </si>
  <si>
    <t>Detectability</t>
  </si>
  <si>
    <t>Remarks</t>
  </si>
  <si>
    <t>Electronics</t>
  </si>
  <si>
    <t>Process connection</t>
  </si>
  <si>
    <t>Reduced sensitivity, delay, inability to sense high pressure causing low signal, spurious trip</t>
  </si>
  <si>
    <t>Diaphragm</t>
  </si>
  <si>
    <t>Corrosion can cause leakage, loss of pressure causing low signal, spurious trip</t>
  </si>
  <si>
    <t>Wiring</t>
  </si>
  <si>
    <t>Design controls and/or diagnostics</t>
  </si>
  <si>
    <t>Pressure transmitter, trip on high level</t>
  </si>
  <si>
    <t>TOTALS:</t>
  </si>
  <si>
    <t>MTTF, y</t>
  </si>
  <si>
    <r>
      <t xml:space="preserve">Expected freq
</t>
    </r>
    <r>
      <rPr>
        <b/>
        <sz val="10"/>
        <rFont val="Cambria"/>
        <family val="1"/>
      </rPr>
      <t xml:space="preserve"> λ </t>
    </r>
    <r>
      <rPr>
        <b/>
        <sz val="10"/>
        <rFont val="Arial"/>
        <family val="2"/>
      </rPr>
      <t>FITS</t>
    </r>
  </si>
  <si>
    <t>FITS</t>
  </si>
  <si>
    <r>
      <t>Failure rates measured in FITS, failures per 10</t>
    </r>
    <r>
      <rPr>
        <b/>
        <vertAlign val="superscript"/>
        <sz val="11"/>
        <color theme="1"/>
        <rFont val="Calibri"/>
        <family val="2"/>
        <scheme val="minor"/>
      </rPr>
      <t>9</t>
    </r>
    <r>
      <rPr>
        <b/>
        <sz val="11"/>
        <color theme="1"/>
        <rFont val="Calibri"/>
        <family val="2"/>
        <scheme val="minor"/>
      </rPr>
      <t xml:space="preserve"> hours</t>
    </r>
  </si>
  <si>
    <t xml:space="preserve">Noise spectrum diagnostic </t>
  </si>
  <si>
    <t>Dangerous fraction</t>
  </si>
  <si>
    <r>
      <rPr>
        <b/>
        <sz val="11"/>
        <color theme="1"/>
        <rFont val="Cambria"/>
        <family val="1"/>
      </rPr>
      <t>λ</t>
    </r>
    <r>
      <rPr>
        <b/>
        <vertAlign val="subscript"/>
        <sz val="11"/>
        <color theme="1"/>
        <rFont val="Calibri"/>
        <family val="2"/>
        <scheme val="minor"/>
      </rPr>
      <t>D</t>
    </r>
    <r>
      <rPr>
        <b/>
        <sz val="11"/>
        <color theme="1"/>
        <rFont val="Calibri"/>
        <family val="2"/>
        <scheme val="minor"/>
      </rPr>
      <t xml:space="preserve"> FITS</t>
    </r>
  </si>
  <si>
    <r>
      <rPr>
        <b/>
        <sz val="11"/>
        <color theme="1"/>
        <rFont val="Cambria"/>
        <family val="1"/>
      </rPr>
      <t>λ</t>
    </r>
    <r>
      <rPr>
        <b/>
        <vertAlign val="subscript"/>
        <sz val="11"/>
        <color theme="1"/>
        <rFont val="Calibri"/>
        <family val="2"/>
        <scheme val="minor"/>
      </rPr>
      <t>DD</t>
    </r>
    <r>
      <rPr>
        <b/>
        <sz val="11"/>
        <color theme="1"/>
        <rFont val="Calibri"/>
        <family val="2"/>
        <scheme val="minor"/>
      </rPr>
      <t xml:space="preserve"> FITS</t>
    </r>
  </si>
  <si>
    <r>
      <rPr>
        <b/>
        <sz val="11"/>
        <color theme="1"/>
        <rFont val="Cambria"/>
        <family val="1"/>
      </rPr>
      <t>λ</t>
    </r>
    <r>
      <rPr>
        <b/>
        <vertAlign val="subscript"/>
        <sz val="11"/>
        <color theme="1"/>
        <rFont val="Calibri"/>
        <family val="2"/>
        <scheme val="minor"/>
      </rPr>
      <t>DU</t>
    </r>
    <r>
      <rPr>
        <b/>
        <sz val="11"/>
        <color theme="1"/>
        <rFont val="Calibri"/>
        <family val="2"/>
        <scheme val="minor"/>
      </rPr>
      <t xml:space="preserve"> FITS</t>
    </r>
  </si>
  <si>
    <r>
      <rPr>
        <b/>
        <sz val="11"/>
        <color theme="1"/>
        <rFont val="Cambria"/>
        <family val="1"/>
      </rPr>
      <t>λ</t>
    </r>
    <r>
      <rPr>
        <b/>
        <sz val="11"/>
        <color theme="1"/>
        <rFont val="Calibri"/>
        <family val="2"/>
        <scheme val="minor"/>
      </rPr>
      <t xml:space="preserve"> FITS</t>
    </r>
  </si>
  <si>
    <t>Periodic testing</t>
  </si>
  <si>
    <t>% Detectable by diagnostic</t>
  </si>
  <si>
    <t>Data validation</t>
  </si>
  <si>
    <t>Loss of signal</t>
  </si>
  <si>
    <t xml:space="preserve">Voltage/current characteristic diagnostic </t>
  </si>
  <si>
    <t>Degraded signal, reading low, prevents trip</t>
  </si>
  <si>
    <t>Degraded signal, reading high, causes spurious trip</t>
  </si>
  <si>
    <t>SFF</t>
  </si>
  <si>
    <t>Failure Mode Effects and Diagnostics Analysis</t>
  </si>
  <si>
    <t>FMEA sheet name</t>
  </si>
  <si>
    <t>FMEA_1</t>
  </si>
  <si>
    <t>% Revealed by periodic test and inspection</t>
  </si>
  <si>
    <r>
      <rPr>
        <b/>
        <sz val="11"/>
        <color theme="1"/>
        <rFont val="Cambria"/>
        <family val="1"/>
      </rPr>
      <t>λ</t>
    </r>
    <r>
      <rPr>
        <b/>
        <vertAlign val="subscript"/>
        <sz val="11"/>
        <color theme="1"/>
        <rFont val="Calibri"/>
        <family val="2"/>
        <scheme val="minor"/>
      </rPr>
      <t>DN</t>
    </r>
    <r>
      <rPr>
        <b/>
        <sz val="11"/>
        <color theme="1"/>
        <rFont val="Calibri"/>
        <family val="2"/>
        <scheme val="minor"/>
      </rPr>
      <t xml:space="preserve"> FITS</t>
    </r>
  </si>
  <si>
    <t>FOR EXAMPLE ONLY</t>
  </si>
  <si>
    <t>Confirm that diagnostic is correctly configured</t>
  </si>
  <si>
    <t>Degraded signal may prevent trip</t>
  </si>
  <si>
    <t>Confirm if signal processing function block can detect noise
Calibration check should detect degraded signal unless intermittent</t>
  </si>
  <si>
    <r>
      <t>λ</t>
    </r>
    <r>
      <rPr>
        <i/>
        <vertAlign val="subscript"/>
        <sz val="11"/>
        <color theme="1"/>
        <rFont val="Cambria"/>
        <family val="1"/>
      </rPr>
      <t>du</t>
    </r>
    <r>
      <rPr>
        <i/>
        <sz val="11"/>
        <color theme="1"/>
        <rFont val="Cambria"/>
        <family val="1"/>
      </rPr>
      <t xml:space="preserve">
</t>
    </r>
    <r>
      <rPr>
        <sz val="11"/>
        <color theme="1"/>
        <rFont val="Calibri"/>
        <family val="2"/>
      </rPr>
      <t>pa</t>
    </r>
  </si>
  <si>
    <r>
      <t>λ</t>
    </r>
    <r>
      <rPr>
        <i/>
        <vertAlign val="subscript"/>
        <sz val="11"/>
        <color theme="1"/>
        <rFont val="Cambria"/>
        <family val="1"/>
      </rPr>
      <t>du</t>
    </r>
    <r>
      <rPr>
        <i/>
        <sz val="11"/>
        <color theme="1"/>
        <rFont val="Cambria"/>
        <family val="1"/>
      </rPr>
      <t xml:space="preserve">
</t>
    </r>
    <r>
      <rPr>
        <sz val="11"/>
        <color theme="1"/>
        <rFont val="Calibri"/>
        <family val="2"/>
      </rPr>
      <t>FITS</t>
    </r>
  </si>
  <si>
    <r>
      <t>λ</t>
    </r>
    <r>
      <rPr>
        <i/>
        <vertAlign val="subscript"/>
        <sz val="11"/>
        <color theme="1"/>
        <rFont val="Cambria"/>
        <family val="1"/>
      </rPr>
      <t>dd</t>
    </r>
    <r>
      <rPr>
        <i/>
        <sz val="11"/>
        <color theme="1"/>
        <rFont val="Cambria"/>
        <family val="1"/>
      </rPr>
      <t xml:space="preserve">
</t>
    </r>
    <r>
      <rPr>
        <sz val="11"/>
        <color theme="1"/>
        <rFont val="Calibri"/>
        <family val="2"/>
      </rPr>
      <t>pa</t>
    </r>
  </si>
  <si>
    <r>
      <t>λ</t>
    </r>
    <r>
      <rPr>
        <i/>
        <vertAlign val="subscript"/>
        <sz val="11"/>
        <color theme="1"/>
        <rFont val="Cambria"/>
        <family val="1"/>
      </rPr>
      <t>dd</t>
    </r>
    <r>
      <rPr>
        <i/>
        <sz val="11"/>
        <color theme="1"/>
        <rFont val="Cambria"/>
        <family val="1"/>
      </rPr>
      <t xml:space="preserve">
</t>
    </r>
    <r>
      <rPr>
        <sz val="11"/>
        <color theme="1"/>
        <rFont val="Calibri"/>
        <family val="2"/>
      </rPr>
      <t>FITS</t>
    </r>
  </si>
  <si>
    <r>
      <t xml:space="preserve">MTTR
</t>
    </r>
    <r>
      <rPr>
        <sz val="11"/>
        <color theme="1"/>
        <rFont val="Calibri"/>
        <family val="2"/>
        <scheme val="minor"/>
      </rPr>
      <t>days</t>
    </r>
  </si>
  <si>
    <r>
      <t xml:space="preserve">MTTR
</t>
    </r>
    <r>
      <rPr>
        <sz val="11"/>
        <color theme="1"/>
        <rFont val="Calibri"/>
        <family val="2"/>
        <scheme val="minor"/>
      </rPr>
      <t>years</t>
    </r>
  </si>
  <si>
    <r>
      <t xml:space="preserve">MRT
</t>
    </r>
    <r>
      <rPr>
        <sz val="11"/>
        <color theme="1"/>
        <rFont val="Calibri"/>
        <family val="2"/>
        <scheme val="minor"/>
      </rPr>
      <t>days</t>
    </r>
  </si>
  <si>
    <r>
      <t xml:space="preserve">MRT
</t>
    </r>
    <r>
      <rPr>
        <sz val="11"/>
        <color theme="1"/>
        <rFont val="Calibri"/>
        <family val="2"/>
        <scheme val="minor"/>
      </rPr>
      <t>years</t>
    </r>
  </si>
  <si>
    <r>
      <t>T</t>
    </r>
    <r>
      <rPr>
        <i/>
        <vertAlign val="subscript"/>
        <sz val="11"/>
        <color theme="1"/>
        <rFont val="Cambria"/>
        <family val="1"/>
      </rPr>
      <t>1</t>
    </r>
    <r>
      <rPr>
        <i/>
        <sz val="11"/>
        <color theme="1"/>
        <rFont val="Cambria"/>
        <family val="1"/>
      </rPr>
      <t xml:space="preserve">
</t>
    </r>
    <r>
      <rPr>
        <sz val="11"/>
        <color theme="1"/>
        <rFont val="Calibri"/>
        <family val="2"/>
      </rPr>
      <t>years</t>
    </r>
  </si>
  <si>
    <r>
      <t>T</t>
    </r>
    <r>
      <rPr>
        <i/>
        <vertAlign val="subscript"/>
        <sz val="11"/>
        <color theme="1"/>
        <rFont val="Cambria"/>
        <family val="1"/>
      </rPr>
      <t>2</t>
    </r>
    <r>
      <rPr>
        <i/>
        <sz val="11"/>
        <color theme="1"/>
        <rFont val="Cambria"/>
        <family val="1"/>
      </rPr>
      <t xml:space="preserve">
</t>
    </r>
    <r>
      <rPr>
        <sz val="11"/>
        <color theme="1"/>
        <rFont val="Calibri"/>
        <family val="2"/>
      </rPr>
      <t>years</t>
    </r>
  </si>
  <si>
    <t>Full test</t>
  </si>
  <si>
    <r>
      <t>λ</t>
    </r>
    <r>
      <rPr>
        <i/>
        <vertAlign val="subscript"/>
        <sz val="11"/>
        <color theme="1"/>
        <rFont val="Cambria"/>
        <family val="1"/>
      </rPr>
      <t>dn</t>
    </r>
    <r>
      <rPr>
        <i/>
        <sz val="11"/>
        <color theme="1"/>
        <rFont val="Cambria"/>
        <family val="1"/>
      </rPr>
      <t xml:space="preserve">
</t>
    </r>
    <r>
      <rPr>
        <sz val="11"/>
        <color theme="1"/>
        <rFont val="Calibri"/>
        <family val="2"/>
      </rPr>
      <t>pa</t>
    </r>
  </si>
  <si>
    <r>
      <t>λ</t>
    </r>
    <r>
      <rPr>
        <i/>
        <vertAlign val="subscript"/>
        <sz val="11"/>
        <color theme="1"/>
        <rFont val="Cambria"/>
        <family val="1"/>
      </rPr>
      <t>dn</t>
    </r>
    <r>
      <rPr>
        <i/>
        <sz val="11"/>
        <color theme="1"/>
        <rFont val="Cambria"/>
        <family val="1"/>
      </rPr>
      <t xml:space="preserve">
</t>
    </r>
    <r>
      <rPr>
        <sz val="11"/>
        <color theme="1"/>
        <rFont val="Calibri"/>
        <family val="2"/>
      </rPr>
      <t>FITS</t>
    </r>
  </si>
  <si>
    <t>Drift causing higher signal causes spurious trip</t>
  </si>
  <si>
    <t>Drift causing lower signal prevents trip</t>
  </si>
  <si>
    <t>Confirm that calibration checks are included in annual test</t>
  </si>
  <si>
    <t>Confirm that calibration checks are included in annual test
Consider implementing sensor comparison</t>
  </si>
  <si>
    <t>Confirm if signal processing function block can detect oscillation
Calibration check should detect degraded signal unless intermittent</t>
  </si>
  <si>
    <t>Confirm if signal processing function block can detect stuck signal</t>
  </si>
  <si>
    <t>Manufacturer and model</t>
  </si>
  <si>
    <t>Manufacturers and models</t>
  </si>
  <si>
    <t>Insert additional rows needed above this row to maintain the range name references</t>
  </si>
  <si>
    <t>Use dropdown lists in the darker cells</t>
  </si>
  <si>
    <r>
      <rPr>
        <b/>
        <sz val="11"/>
        <color rgb="FF00B0F0"/>
        <rFont val="Calibri"/>
        <family val="2"/>
        <scheme val="minor"/>
      </rPr>
      <t>[EXAMPLE REMARKS ARE SHOWN HERE]</t>
    </r>
    <r>
      <rPr>
        <sz val="11"/>
        <color theme="1"/>
        <rFont val="Calibri"/>
        <family val="2"/>
        <scheme val="minor"/>
      </rPr>
      <t xml:space="preserve">
Confirm that diagnostic is correctly configured</t>
    </r>
  </si>
  <si>
    <r>
      <t>DC</t>
    </r>
    <r>
      <rPr>
        <b/>
        <vertAlign val="subscript"/>
        <sz val="11"/>
        <color theme="1"/>
        <rFont val="Calibri"/>
        <family val="2"/>
        <scheme val="minor"/>
      </rPr>
      <t>D</t>
    </r>
  </si>
  <si>
    <t>FMEA sheet reference</t>
  </si>
  <si>
    <t>Generic 4-20mA pressure transmitter with impulse line connection</t>
  </si>
  <si>
    <t>from the FMEA sheet</t>
  </si>
  <si>
    <t>Quote references sources here</t>
  </si>
  <si>
    <t>Evidence of suitability for use</t>
  </si>
  <si>
    <t>Refer to either a safety manual or to a prior use analysis report</t>
  </si>
  <si>
    <t>Fault tolerance:</t>
  </si>
  <si>
    <t>Type A</t>
  </si>
  <si>
    <t>Type B</t>
  </si>
  <si>
    <t>Type selection</t>
  </si>
  <si>
    <t>61508-2 Table 2: TYPE A</t>
  </si>
  <si>
    <t>61508-2 Table 3: TYPE B</t>
  </si>
  <si>
    <t>Type A/B:</t>
  </si>
  <si>
    <t>HFT</t>
  </si>
  <si>
    <t>SIL</t>
  </si>
  <si>
    <t>Safety function ID:</t>
  </si>
  <si>
    <t>Function description</t>
  </si>
  <si>
    <t>Sensor equipment description</t>
  </si>
  <si>
    <t>SIL  target:</t>
  </si>
  <si>
    <t xml:space="preserve">SIL </t>
  </si>
  <si>
    <t>RRF target:</t>
  </si>
  <si>
    <t>Logic solver</t>
  </si>
  <si>
    <t>Generic 2oo3</t>
  </si>
  <si>
    <t>Main processor</t>
  </si>
  <si>
    <t>Power supply</t>
  </si>
  <si>
    <t>FMEA_2</t>
  </si>
  <si>
    <t>Input channel</t>
  </si>
  <si>
    <t>Other</t>
  </si>
  <si>
    <t>Consolidated failure rates taken from safety manual</t>
  </si>
  <si>
    <t>Consolidated failure rates taken from PLC safety manual</t>
  </si>
  <si>
    <t>PLC diagnostics</t>
  </si>
  <si>
    <r>
      <t>λ</t>
    </r>
    <r>
      <rPr>
        <i/>
        <vertAlign val="subscript"/>
        <sz val="11"/>
        <color theme="1"/>
        <rFont val="Cambria"/>
        <family val="1"/>
      </rPr>
      <t>su</t>
    </r>
    <r>
      <rPr>
        <i/>
        <sz val="11"/>
        <color theme="1"/>
        <rFont val="Cambria"/>
        <family val="1"/>
      </rPr>
      <t xml:space="preserve">
</t>
    </r>
    <r>
      <rPr>
        <sz val="11"/>
        <color theme="1"/>
        <rFont val="Calibri"/>
        <family val="2"/>
      </rPr>
      <t>FITS</t>
    </r>
  </si>
  <si>
    <r>
      <t>λ</t>
    </r>
    <r>
      <rPr>
        <i/>
        <vertAlign val="subscript"/>
        <sz val="11"/>
        <color theme="1"/>
        <rFont val="Cambria"/>
        <family val="1"/>
      </rPr>
      <t>su</t>
    </r>
    <r>
      <rPr>
        <i/>
        <sz val="11"/>
        <color theme="1"/>
        <rFont val="Cambria"/>
        <family val="1"/>
      </rPr>
      <t xml:space="preserve">
</t>
    </r>
    <r>
      <rPr>
        <sz val="11"/>
        <color theme="1"/>
        <rFont val="Calibri"/>
        <family val="2"/>
      </rPr>
      <t>pa</t>
    </r>
  </si>
  <si>
    <r>
      <rPr>
        <b/>
        <sz val="11"/>
        <color theme="1"/>
        <rFont val="Cambria"/>
        <family val="1"/>
      </rPr>
      <t>λ</t>
    </r>
    <r>
      <rPr>
        <b/>
        <vertAlign val="subscript"/>
        <sz val="11"/>
        <color theme="1"/>
        <rFont val="Calibri"/>
        <family val="2"/>
        <scheme val="minor"/>
      </rPr>
      <t>SU</t>
    </r>
    <r>
      <rPr>
        <b/>
        <sz val="11"/>
        <color theme="1"/>
        <rFont val="Calibri"/>
        <family val="2"/>
        <scheme val="minor"/>
      </rPr>
      <t xml:space="preserve"> FITS</t>
    </r>
  </si>
  <si>
    <r>
      <rPr>
        <b/>
        <sz val="11"/>
        <color theme="1"/>
        <rFont val="Cambria"/>
        <family val="1"/>
      </rPr>
      <t>λ</t>
    </r>
    <r>
      <rPr>
        <b/>
        <vertAlign val="subscript"/>
        <sz val="11"/>
        <color theme="1"/>
        <rFont val="Calibri"/>
        <family val="2"/>
        <scheme val="minor"/>
      </rPr>
      <t>SD</t>
    </r>
    <r>
      <rPr>
        <b/>
        <sz val="11"/>
        <color theme="1"/>
        <rFont val="Calibri"/>
        <family val="2"/>
        <scheme val="minor"/>
      </rPr>
      <t xml:space="preserve"> FITS</t>
    </r>
  </si>
  <si>
    <t>Solenoid valve</t>
  </si>
  <si>
    <t>Ball valve fails to close on command</t>
  </si>
  <si>
    <t xml:space="preserve">Ball valve with solenoid controlled 1/4 turn pneumatic actuator, tight shutoff not required, clean service, spring to close, close on trip </t>
  </si>
  <si>
    <t>Overheated coil</t>
  </si>
  <si>
    <t>Ball valve closes uncommanded</t>
  </si>
  <si>
    <t>Ball valve fails to open on command</t>
  </si>
  <si>
    <t>Actuator</t>
  </si>
  <si>
    <t>Ball valve closing time exceeds specification</t>
  </si>
  <si>
    <t>Output channel</t>
  </si>
  <si>
    <t>Ball valve</t>
  </si>
  <si>
    <t xml:space="preserve">Sheared stem due to over-torque </t>
  </si>
  <si>
    <t>Include checks for sheared stem in proof test and inspection</t>
  </si>
  <si>
    <t>FE01</t>
  </si>
  <si>
    <t>FMEA_3</t>
  </si>
  <si>
    <t>Final element equipment description</t>
  </si>
  <si>
    <t xml:space="preserve">Generic data </t>
  </si>
  <si>
    <t>Logic solver subsystem</t>
  </si>
  <si>
    <t>Final element subsystem</t>
  </si>
  <si>
    <t>Logic solver equipment description</t>
  </si>
  <si>
    <t>Rounding to</t>
  </si>
  <si>
    <t>Regular periodic test</t>
  </si>
  <si>
    <t>RRF</t>
  </si>
  <si>
    <t>Uncertainty range:</t>
  </si>
  <si>
    <t>Low range uncertainty boundary</t>
  </si>
  <si>
    <t>Upper range uncertainty boundary</t>
  </si>
  <si>
    <t>RRF Achieved</t>
  </si>
  <si>
    <t>RRF 
Achieved</t>
  </si>
  <si>
    <t>low</t>
  </si>
  <si>
    <t>high</t>
  </si>
  <si>
    <t>RRF Target</t>
  </si>
  <si>
    <t>Estimated RRF</t>
  </si>
  <si>
    <t>Target RRF</t>
  </si>
  <si>
    <t>average</t>
  </si>
  <si>
    <t>Chart data</t>
  </si>
  <si>
    <t>Grey shaded cells show information linked from calculation sheets</t>
  </si>
  <si>
    <r>
      <t>Route 1</t>
    </r>
    <r>
      <rPr>
        <b/>
        <vertAlign val="subscript"/>
        <sz val="11"/>
        <color theme="1"/>
        <rFont val="Calibri"/>
        <family val="2"/>
        <scheme val="minor"/>
      </rPr>
      <t>H</t>
    </r>
    <r>
      <rPr>
        <b/>
        <sz val="11"/>
        <color theme="1"/>
        <rFont val="Calibri"/>
        <family val="2"/>
        <scheme val="minor"/>
      </rPr>
      <t xml:space="preserve"> SIL limit:</t>
    </r>
  </si>
  <si>
    <t>Voting architecture</t>
  </si>
  <si>
    <r>
      <t>Route 2</t>
    </r>
    <r>
      <rPr>
        <b/>
        <vertAlign val="subscript"/>
        <sz val="11"/>
        <color theme="1"/>
        <rFont val="Calibri"/>
        <family val="2"/>
        <scheme val="minor"/>
      </rPr>
      <t>H</t>
    </r>
    <r>
      <rPr>
        <b/>
        <sz val="11"/>
        <color theme="1"/>
        <rFont val="Calibri"/>
        <family val="2"/>
        <scheme val="minor"/>
      </rPr>
      <t xml:space="preserve"> SIL limit:</t>
    </r>
  </si>
  <si>
    <r>
      <t>Route 1</t>
    </r>
    <r>
      <rPr>
        <b/>
        <vertAlign val="subscript"/>
        <sz val="11"/>
        <color theme="1"/>
        <rFont val="Calibri"/>
        <family val="2"/>
        <scheme val="minor"/>
      </rPr>
      <t>H</t>
    </r>
    <r>
      <rPr>
        <b/>
        <sz val="11"/>
        <color theme="1"/>
        <rFont val="Calibri"/>
        <family val="2"/>
        <scheme val="minor"/>
      </rPr>
      <t xml:space="preserve"> factors:</t>
    </r>
  </si>
  <si>
    <r>
      <t>For Route 2</t>
    </r>
    <r>
      <rPr>
        <b/>
        <vertAlign val="subscript"/>
        <sz val="11"/>
        <color theme="1"/>
        <rFont val="Calibri"/>
        <family val="2"/>
        <scheme val="minor"/>
      </rPr>
      <t>H</t>
    </r>
    <r>
      <rPr>
        <b/>
        <sz val="11"/>
        <color theme="1"/>
        <rFont val="Calibri"/>
        <family val="2"/>
        <scheme val="minor"/>
      </rPr>
      <t xml:space="preserve"> confirm that reliability data with 90% confidence level has been used</t>
    </r>
  </si>
  <si>
    <t xml:space="preserve">IEC 61511 SIL limit: </t>
  </si>
  <si>
    <t>IEC 61511 HFT method requires credible and traceable reliability data</t>
  </si>
  <si>
    <t>References</t>
  </si>
  <si>
    <t>IEC 60812  Analysis techniques for system reliability – Procedure for failure mode and effects analysis (FMEA)</t>
  </si>
  <si>
    <t xml:space="preserve">IEC 61508  Functional safety of electrical/electronic/programmable electronic safety-related systems </t>
  </si>
  <si>
    <t>Smith, D. J. ‘Reliability, Maintainability and Risk’, 9th Ed. Butterworth Heinemann. 2017</t>
  </si>
  <si>
    <r>
      <t>OREDA ‘</t>
    </r>
    <r>
      <rPr>
        <i/>
        <sz val="11"/>
        <color theme="1"/>
        <rFont val="Calibri"/>
        <family val="2"/>
        <scheme val="minor"/>
      </rPr>
      <t>Offshore Reliability Data Handbook’</t>
    </r>
    <r>
      <rPr>
        <sz val="11"/>
        <color theme="1"/>
        <rFont val="Calibri"/>
        <family val="2"/>
        <scheme val="minor"/>
      </rPr>
      <t xml:space="preserve"> Volume 1, 5</t>
    </r>
    <r>
      <rPr>
        <vertAlign val="superscript"/>
        <sz val="11"/>
        <color theme="1"/>
        <rFont val="Calibri"/>
        <family val="2"/>
        <scheme val="minor"/>
      </rPr>
      <t>th</t>
    </r>
    <r>
      <rPr>
        <sz val="11"/>
        <color theme="1"/>
        <rFont val="Calibri"/>
        <family val="2"/>
        <scheme val="minor"/>
      </rPr>
      <t xml:space="preserve"> Ed. SINTEF. 2009</t>
    </r>
  </si>
  <si>
    <r>
      <t>OREDA ‘</t>
    </r>
    <r>
      <rPr>
        <i/>
        <sz val="11"/>
        <color theme="1"/>
        <rFont val="Calibri"/>
        <family val="2"/>
        <scheme val="minor"/>
      </rPr>
      <t>Offshore and Onshore Reliability Data Handbook</t>
    </r>
    <r>
      <rPr>
        <sz val="11"/>
        <color theme="1"/>
        <rFont val="Calibri"/>
        <family val="2"/>
        <scheme val="minor"/>
      </rPr>
      <t>’ Volume 1, 6</t>
    </r>
    <r>
      <rPr>
        <vertAlign val="superscript"/>
        <sz val="11"/>
        <color theme="1"/>
        <rFont val="Calibri"/>
        <family val="2"/>
        <scheme val="minor"/>
      </rPr>
      <t>th</t>
    </r>
    <r>
      <rPr>
        <sz val="11"/>
        <color theme="1"/>
        <rFont val="Calibri"/>
        <family val="2"/>
        <scheme val="minor"/>
      </rPr>
      <t xml:space="preserve"> Ed. SINTEF. 2015</t>
    </r>
  </si>
  <si>
    <r>
      <t>exida</t>
    </r>
    <r>
      <rPr>
        <sz val="11"/>
        <color theme="1"/>
        <rFont val="Calibri"/>
        <family val="2"/>
        <scheme val="minor"/>
      </rPr>
      <t xml:space="preserve"> Safety Equipment Reliability Handbook (‘SERH’), 3</t>
    </r>
    <r>
      <rPr>
        <vertAlign val="superscript"/>
        <sz val="11"/>
        <color theme="1"/>
        <rFont val="Calibri"/>
        <family val="2"/>
        <scheme val="minor"/>
      </rPr>
      <t>rd</t>
    </r>
    <r>
      <rPr>
        <sz val="11"/>
        <color theme="1"/>
        <rFont val="Calibri"/>
        <family val="2"/>
        <scheme val="minor"/>
      </rPr>
      <t xml:space="preserve"> Ed. 2007</t>
    </r>
  </si>
  <si>
    <r>
      <t>exida</t>
    </r>
    <r>
      <rPr>
        <sz val="11"/>
        <color theme="1"/>
        <rFont val="Calibri"/>
        <family val="2"/>
        <scheme val="minor"/>
      </rPr>
      <t xml:space="preserve"> Safety Equipment Reliability Handbook (‘SERH’), 4</t>
    </r>
    <r>
      <rPr>
        <vertAlign val="superscript"/>
        <sz val="11"/>
        <color theme="1"/>
        <rFont val="Calibri"/>
        <family val="2"/>
        <scheme val="minor"/>
      </rPr>
      <t>th</t>
    </r>
    <r>
      <rPr>
        <sz val="11"/>
        <color theme="1"/>
        <rFont val="Calibri"/>
        <family val="2"/>
        <scheme val="minor"/>
      </rPr>
      <t xml:space="preserve"> Ed. 2015</t>
    </r>
  </si>
  <si>
    <t>Bukowski, J.V. and Stewart, L.  ‘Quantifying the Impacts of Human Factors on Functional Safety’ exida.
Presented at the American Institute of Chemical Engineers’ 12th Global Congress on Process Safety, Houston, Texas. 2016</t>
  </si>
  <si>
    <t>SINTEF Reliability Prediction Method for Safety Instrumented Systems
PDS Method Handbook. 2013</t>
  </si>
  <si>
    <t>SINTEF Reliability Prediction Method for Safety Instrumented Systems
PDS Data Handbook. 2021</t>
  </si>
  <si>
    <t>Florent Brissaud, Anne Barros, Christophe Bérenguer.  ‘Probability of Failure of Safety-Critical Systems Subject to Partial Tests. 
Reliability and Maintainability Symposium, RAMS 2010, San Jose 
(referenced in Cornell University Library, &lt; arXiv:1007.5448 &gt;).</t>
  </si>
  <si>
    <t>Refer to IEC 60812 for guidance on FMEA.</t>
  </si>
  <si>
    <t>Each susbsystem FMEA should contain all of the subsystem components.  For instance, FMEA for a sensor subsystem should include the process interface, the process connection, the sensor, the transmitter, the signal wiring, signal conversion elements (such as isolating barriers) and the logic solver input channel.</t>
  </si>
  <si>
    <t>IEC 61709  Electronic components – Reliability – Reference conditions for failure rates and stress models for conversion</t>
  </si>
  <si>
    <t>Example FMEA sheets are included for a sensor, logic solver and final element.</t>
  </si>
  <si>
    <r>
      <rPr>
        <b/>
        <sz val="11"/>
        <color rgb="FF00B0F0"/>
        <rFont val="Calibri"/>
        <family val="2"/>
        <scheme val="minor"/>
      </rPr>
      <t>[USE THIS ROW IF THE LOGIC SOLVER SAFETY MANUAL PROVIDES CONSOLIDATED FAILURE DATA]</t>
    </r>
    <r>
      <rPr>
        <sz val="11"/>
        <color theme="1"/>
        <rFont val="Calibri"/>
        <family val="2"/>
        <scheme val="minor"/>
      </rPr>
      <t xml:space="preserve">
</t>
    </r>
  </si>
  <si>
    <r>
      <rPr>
        <b/>
        <sz val="11"/>
        <color rgb="FF00B0F0"/>
        <rFont val="Calibri"/>
        <family val="2"/>
        <scheme val="minor"/>
      </rPr>
      <t>[ALTERNATIVELY, FAILURE RATES MAY BE ESTIMATED BY ANALYSING EACH COMPONENT IN THE SYSTEM]</t>
    </r>
    <r>
      <rPr>
        <sz val="11"/>
        <color theme="1"/>
        <rFont val="Calibri"/>
        <family val="2"/>
        <scheme val="minor"/>
      </rPr>
      <t xml:space="preserve">
</t>
    </r>
  </si>
  <si>
    <t>The primary purpose of the FMEA is to faciltate subsystem design so that:
1. Dangerous failures may be prevented by design
2. Unpreventable dangerous failures may be detected by continuous diagnostic functions
3. Proof test and inspection may be designed to reveal the unpreventable dangerous failures that cannot be detected by diagnostics</t>
  </si>
  <si>
    <t>SF ID:</t>
  </si>
  <si>
    <t>Description</t>
  </si>
  <si>
    <t>SIL Target</t>
  </si>
  <si>
    <t>SIL Achieved</t>
  </si>
  <si>
    <t>RRF Margin</t>
  </si>
  <si>
    <t>Chosen HFT Route:</t>
  </si>
  <si>
    <t>HFT Routes</t>
  </si>
  <si>
    <r>
      <t>Route 1</t>
    </r>
    <r>
      <rPr>
        <b/>
        <vertAlign val="subscript"/>
        <sz val="11"/>
        <color theme="1"/>
        <rFont val="Calibri"/>
        <family val="2"/>
        <scheme val="minor"/>
      </rPr>
      <t>H</t>
    </r>
  </si>
  <si>
    <r>
      <t>Route 2</t>
    </r>
    <r>
      <rPr>
        <b/>
        <vertAlign val="subscript"/>
        <sz val="11"/>
        <color theme="1"/>
        <rFont val="Calibri"/>
        <family val="2"/>
        <scheme val="minor"/>
      </rPr>
      <t>H</t>
    </r>
  </si>
  <si>
    <t>IEC 61511</t>
  </si>
  <si>
    <t>Route 1H</t>
  </si>
  <si>
    <t>HFT Limit</t>
  </si>
  <si>
    <t>SF 001</t>
  </si>
  <si>
    <t>Sheet index</t>
  </si>
  <si>
    <t>orders of magnitude</t>
  </si>
  <si>
    <t>Uncertainty range mulitpliers</t>
  </si>
  <si>
    <t>Acknowledgement</t>
  </si>
  <si>
    <t>Version</t>
  </si>
  <si>
    <t>TBA</t>
  </si>
  <si>
    <t>Suitability:</t>
  </si>
  <si>
    <t>Other safety manual</t>
  </si>
  <si>
    <t>IEC 61508 safety manual</t>
  </si>
  <si>
    <t>IEC 61511 prior use dossier</t>
  </si>
  <si>
    <t>Evidence not available</t>
  </si>
  <si>
    <t>Architectural constraints (subject to evidence of suitability)</t>
  </si>
  <si>
    <t>Reliability block diagram and safety function performance summary</t>
  </si>
  <si>
    <t>Spurious trip rate (pa)</t>
  </si>
  <si>
    <r>
      <t>PFD</t>
    </r>
    <r>
      <rPr>
        <b/>
        <i/>
        <vertAlign val="subscript"/>
        <sz val="14"/>
        <color theme="1"/>
        <rFont val="Cambria"/>
        <family val="1"/>
      </rPr>
      <t>AVG</t>
    </r>
  </si>
  <si>
    <r>
      <t xml:space="preserve">SF Total </t>
    </r>
    <r>
      <rPr>
        <b/>
        <i/>
        <sz val="14"/>
        <color theme="1"/>
        <rFont val="Cambria"/>
        <family val="1"/>
      </rPr>
      <t>PFD</t>
    </r>
    <r>
      <rPr>
        <b/>
        <i/>
        <vertAlign val="subscript"/>
        <sz val="14"/>
        <color theme="1"/>
        <rFont val="Cambria"/>
        <family val="1"/>
      </rPr>
      <t>AVG</t>
    </r>
  </si>
  <si>
    <t>SF spurious trip rate</t>
  </si>
  <si>
    <t>RRF achieved:</t>
  </si>
  <si>
    <t>SIL target:</t>
  </si>
  <si>
    <t>Estimated average values</t>
  </si>
  <si>
    <t>Rounding totals to:</t>
  </si>
  <si>
    <t>Evidence of suitability</t>
  </si>
  <si>
    <t>SILsafedata.com</t>
  </si>
  <si>
    <t>Systematic capability (if IEC 61508 compliant)</t>
  </si>
  <si>
    <t>SC</t>
  </si>
  <si>
    <t>Sytematic capability</t>
  </si>
  <si>
    <t>FMEA is always necessary as the first step.  Failiure modes and effects always depend on the specific application of devices and on the overall design of each subsystem.</t>
  </si>
  <si>
    <t xml:space="preserve">Failure rates vary widely because at least 97% of failures are at least partially systematic.  Failure rates depend environmental factors and on the effectiveness of equipment maintenance practices.  </t>
  </si>
  <si>
    <t>ISA-TR84.00.02-2022 Part 1 Safety Integrity Level (SIL) Verification of Safety Instrumented Functions</t>
  </si>
  <si>
    <t>https://creativecommons.org/licenses/by-sa/4.0/legalcode</t>
  </si>
  <si>
    <t>You are free to:</t>
  </si>
  <si>
    <t>The licensor cannot revoke these freedoms as long as you follow the license terms.</t>
  </si>
  <si>
    <t>Share — copy and redistribute the material in any medium or format</t>
  </si>
  <si>
    <t>Adapt — remix, transform, and build upon the material for any purpose, even commercially.</t>
  </si>
  <si>
    <t>&lt;a rel="license" href="http://creativecommons.org/licenses/by-sa/4.0/"&gt;&lt;img alt="Creative Commons License" style="border-width:0" src="https://i.creativecommons.org/l/by-sa/4.0/88x31.png" /&gt;&lt;/a&gt;&lt;br /&gt;&lt;span xmlns:dct="http://purl.org/dc/terms/" property="dct:title"&gt;MoonSIF&lt;/span&gt; by &lt;a xmlns:cc="http://creativecommons.org/ns#" href="www.iesystems.com.au" property="cc:attributionName" rel="cc:attributionURL"&gt;I&amp;E Systems Pty Ltd&lt;/a&gt; is licensed under a &lt;a rel="license" href="http://creativecommons.org/licenses/by-sa/4.0/"&gt;Creative Commons Attribution-ShareAlike 4.0 International License&lt;/a&gt;.&lt;br /&gt;Based on a work at &lt;a xmlns:dct="http://purl.org/dc/terms/" href="https://www.iesystems.com.au/publications/" rel="dct:source"&gt;https://www.iesystems.com.au/publications/&lt;/a&gt;.</t>
  </si>
  <si>
    <t>Released</t>
  </si>
  <si>
    <t>Author</t>
  </si>
  <si>
    <t>Mirek Generowicz</t>
  </si>
  <si>
    <t>MoonSIF calculation tool</t>
  </si>
  <si>
    <t>I&amp;E Systems Pty Ltd</t>
  </si>
  <si>
    <t>Assemble each safety function using a combination of subsystems</t>
  </si>
  <si>
    <t>Enter information into cells shaded this colour</t>
  </si>
  <si>
    <t>Make a summary sheet</t>
  </si>
  <si>
    <r>
      <t xml:space="preserve">The safety function sheet names can be used to summarise results on the </t>
    </r>
    <r>
      <rPr>
        <b/>
        <sz val="11"/>
        <color theme="1"/>
        <rFont val="Calibri"/>
        <family val="2"/>
        <scheme val="minor"/>
      </rPr>
      <t xml:space="preserve">Summary </t>
    </r>
    <r>
      <rPr>
        <sz val="11"/>
        <color theme="1"/>
        <rFont val="Calibri"/>
        <family val="2"/>
        <scheme val="minor"/>
      </rPr>
      <t xml:space="preserve">sheet. Make sure that there are no spaces in the sheet names.  The 'INDIRECT' referencing function does not work if the sheet names contain spaces. </t>
    </r>
  </si>
  <si>
    <t xml:space="preserve">FMEA does not need to be precise. Break each subsytem down into its main component parts. A typical FMEA for the purpose of PFD calculations does not need more than about 30 rows.  It may have fewer than 10 rows. </t>
  </si>
  <si>
    <t>Design margins</t>
  </si>
  <si>
    <t>Start with failure modes and effects analysis</t>
  </si>
  <si>
    <r>
      <t xml:space="preserve">FMEA published in device safety manuals or in </t>
    </r>
    <r>
      <rPr>
        <i/>
        <sz val="11"/>
        <color theme="1"/>
        <rFont val="Calibri"/>
        <family val="2"/>
        <scheme val="minor"/>
      </rPr>
      <t>exida</t>
    </r>
    <r>
      <rPr>
        <sz val="11"/>
        <color theme="1"/>
        <rFont val="Calibri"/>
        <family val="2"/>
        <scheme val="minor"/>
      </rPr>
      <t xml:space="preserve"> SERH may be used as references but are not sufficient on their own.  Failure rates and failure effects depend on each specific application. </t>
    </r>
  </si>
  <si>
    <t xml:space="preserve">All failure rates are variable in practice. Element failure rate estimates should be expected to vary by at least 0.3x to 3x around the long term averages.  Refer to references 3, 4, 5, 6 and 7 below for information on failure rate variability.  </t>
  </si>
  <si>
    <t>There is no such thing as a 'correct' or 'true' value of failure rate.  Initial estimates for failure rates on individual rows of FMEA can be derived from the typical values of overall failure rate taken from reference sources. For example, a sensor might be expected to have an overall failure rate of around 3000 FITS.  If 10 individual failure modes are identified, then the average failure rate of each mode would have to be around 300 FITS.  One or two components might be estimated to fail more frequently, so they might be assigned 1000 FITS.  Other components that are less likely to fail would be assigned 30 FITS or 100 FITS.  The point of the exercise is to identify the dangerous failure modes that can be expected and to identify ways of avoiding, controlling, preventing or detecting faults before they result in failure.</t>
  </si>
  <si>
    <t>This workbook is intended to include no more than 10 or 20 different safety function sheets.  Consider using multiple workbooks for larger applications so that the file is not too cumbersome.</t>
  </si>
  <si>
    <t>The SIL determination guidelines in IEC 61508-5 and IEC 61511-3 explain that risk reduction targets should be set to achieve a residual risk that is lower than the tolerable risk.  It is good practice to allow some design margin in safety functions so that its estimated risk reduction factor is greater than the target risk reduction allocated to the safety system.</t>
  </si>
  <si>
    <r>
      <t xml:space="preserve">The failure rates reported in </t>
    </r>
    <r>
      <rPr>
        <i/>
        <sz val="11"/>
        <color theme="1"/>
        <rFont val="Calibri"/>
        <family val="2"/>
        <scheme val="minor"/>
      </rPr>
      <t>exida</t>
    </r>
    <r>
      <rPr>
        <sz val="11"/>
        <color theme="1"/>
        <rFont val="Calibri"/>
        <family val="2"/>
        <scheme val="minor"/>
      </rPr>
      <t xml:space="preserve"> SERH are generally consistent with the 70 percentile values reported in the OREDA datasets.  The worst-case performance reported in OREDA is typically a factor of 3 or 4 higher than the 70% levels.  Bukowski, J.V. and Stewart, L. (Reference 7) reported a similar factor in worst-case performance on sites where maintenance activities were not completed promptly and effectively.</t>
    </r>
  </si>
  <si>
    <r>
      <t xml:space="preserve">Make a copy of the </t>
    </r>
    <r>
      <rPr>
        <b/>
        <sz val="11"/>
        <color theme="1"/>
        <rFont val="Calibri"/>
        <family val="2"/>
        <scheme val="minor"/>
      </rPr>
      <t>safety function analysis sheet</t>
    </r>
    <r>
      <rPr>
        <sz val="11"/>
        <color theme="1"/>
        <rFont val="Calibri"/>
        <family val="2"/>
        <scheme val="minor"/>
      </rPr>
      <t xml:space="preserve"> </t>
    </r>
    <r>
      <rPr>
        <b/>
        <sz val="11"/>
        <color theme="1"/>
        <rFont val="Calibri"/>
        <family val="2"/>
        <scheme val="minor"/>
      </rPr>
      <t xml:space="preserve">SF_1 </t>
    </r>
    <r>
      <rPr>
        <sz val="11"/>
        <color theme="1"/>
        <rFont val="Calibri"/>
        <family val="2"/>
        <scheme val="minor"/>
      </rPr>
      <t xml:space="preserve">to define a safety function. Prepare separate sheets to define each unique safety function pattern.   </t>
    </r>
  </si>
  <si>
    <r>
      <t xml:space="preserve">The safety function analysis sheet contains sections to define each of the three subsystems: </t>
    </r>
    <r>
      <rPr>
        <b/>
        <sz val="11"/>
        <color theme="1"/>
        <rFont val="Calibri"/>
        <family val="2"/>
        <scheme val="minor"/>
      </rPr>
      <t>Sensor, Logic solver and Final elements</t>
    </r>
  </si>
  <si>
    <t>The safety function analysis sheet includes a summary section that reports the expected range of variation in safety function performance.  The default setting for the uncertainty range is one order of magnitude.</t>
  </si>
  <si>
    <t>The architectural constraints analysis (hardware fault tolerance) can only be completed if there is evidence that the selected devices are suitable for the intended use.</t>
  </si>
  <si>
    <t>The FMEA sheets include space to record evidence of suitability. 
Include a reference either to a safety manual or to a prior use analysis report.</t>
  </si>
  <si>
    <r>
      <t xml:space="preserve">The safety function analysis sheet contains cells for each subsystem with dropdown boxes to record </t>
    </r>
    <r>
      <rPr>
        <b/>
        <sz val="11"/>
        <color theme="1"/>
        <rFont val="Calibri"/>
        <family val="2"/>
        <scheme val="minor"/>
      </rPr>
      <t>Selection criteria - suitability for use</t>
    </r>
    <r>
      <rPr>
        <sz val="11"/>
        <color theme="1"/>
        <rFont val="Calibri"/>
        <family val="2"/>
        <scheme val="minor"/>
      </rPr>
      <t>.  Select the appropriate value from the dropdown list.</t>
    </r>
  </si>
  <si>
    <t>Attribution — You must give appropriate credit, provide a link to the license, and indicate if changes were made. You may do so in any reasonable manner, but not in any way that suggests the licensor endorses you or your use.</t>
  </si>
  <si>
    <t>ShareAlike — If you remix, transform, or build upon the material, you must distribute your contributions under the same license as the original.</t>
  </si>
  <si>
    <t>This work is released under a Creative Commons BY-SA Licence.</t>
  </si>
  <si>
    <t>PZHH01</t>
  </si>
  <si>
    <t>out of</t>
  </si>
  <si>
    <t>Solver1</t>
  </si>
  <si>
    <r>
      <t>Regular test period T</t>
    </r>
    <r>
      <rPr>
        <b/>
        <vertAlign val="subscript"/>
        <sz val="11"/>
        <color theme="1"/>
        <rFont val="Calibri"/>
        <family val="2"/>
        <scheme val="minor"/>
      </rPr>
      <t xml:space="preserve">1 </t>
    </r>
    <r>
      <rPr>
        <b/>
        <sz val="11"/>
        <color theme="1"/>
        <rFont val="Calibri"/>
        <family val="2"/>
        <scheme val="minor"/>
      </rPr>
      <t>(y)</t>
    </r>
  </si>
  <si>
    <r>
      <t>Full test period T</t>
    </r>
    <r>
      <rPr>
        <b/>
        <vertAlign val="subscript"/>
        <sz val="11"/>
        <color theme="1"/>
        <rFont val="Calibri"/>
        <family val="2"/>
        <scheme val="minor"/>
      </rPr>
      <t xml:space="preserve">2 </t>
    </r>
    <r>
      <rPr>
        <b/>
        <sz val="11"/>
        <color theme="1"/>
        <rFont val="Calibri"/>
        <family val="2"/>
        <scheme val="minor"/>
      </rPr>
      <t>(y)</t>
    </r>
  </si>
  <si>
    <t>MRT (days)</t>
  </si>
  <si>
    <t>MTTR (days)</t>
  </si>
  <si>
    <r>
      <t>β</t>
    </r>
    <r>
      <rPr>
        <b/>
        <vertAlign val="subscript"/>
        <sz val="11"/>
        <color theme="1"/>
        <rFont val="Arial"/>
        <family val="2"/>
      </rPr>
      <t>int</t>
    </r>
  </si>
  <si>
    <r>
      <t>β</t>
    </r>
    <r>
      <rPr>
        <b/>
        <i/>
        <vertAlign val="subscript"/>
        <sz val="11"/>
        <color theme="1"/>
        <rFont val="Cambria"/>
        <family val="1"/>
      </rPr>
      <t>D</t>
    </r>
    <r>
      <rPr>
        <b/>
        <vertAlign val="subscript"/>
        <sz val="11"/>
        <color theme="1"/>
        <rFont val="Arial"/>
        <family val="2"/>
      </rPr>
      <t>int</t>
    </r>
  </si>
  <si>
    <t>are applied in the calculations below</t>
  </si>
  <si>
    <t>Correction factors for MooN voting</t>
  </si>
  <si>
    <r>
      <t>T</t>
    </r>
    <r>
      <rPr>
        <b/>
        <vertAlign val="subscript"/>
        <sz val="11"/>
        <color theme="1"/>
        <rFont val="Calibri"/>
        <family val="2"/>
        <scheme val="minor"/>
      </rPr>
      <t xml:space="preserve">1 </t>
    </r>
    <r>
      <rPr>
        <b/>
        <sz val="11"/>
        <color theme="1"/>
        <rFont val="Calibri"/>
        <family val="2"/>
        <scheme val="minor"/>
      </rPr>
      <t xml:space="preserve">test coverage </t>
    </r>
  </si>
  <si>
    <t>uncertainty factor</t>
  </si>
  <si>
    <t>SF overall HFT limit:</t>
  </si>
  <si>
    <t>SIL achieved by RRF:</t>
  </si>
  <si>
    <t>Insert additional rows if needed above this row to maintain the range name references, and copy calculations into the new rows as required</t>
  </si>
  <si>
    <t>Darker shaded cells have data validation and dropdown menus:</t>
  </si>
  <si>
    <t>Example safety function description: Flare knock-out drum high level trip</t>
  </si>
  <si>
    <t>Describe the sensor subsystem here</t>
  </si>
  <si>
    <t>Grey shaded cells show calculation results or references to other cells</t>
  </si>
  <si>
    <t>For each subsytem enter the name of the FMEA sheet prepared for that subsystem.  
Reference error messages will be shown if the name entered is not a valid sheet name.</t>
  </si>
  <si>
    <t>The logic solver subsystem does not usually conribute more then a few percent to the overall failure probability. The logic solver section on the safety function sheet can be simplified by not using an FMEA sheet.  The contribution to PFD could be overwritten with fixed nominal values taken from the safety manual.</t>
  </si>
  <si>
    <t>The calculations including β scaling factors for MooN architectures.</t>
  </si>
  <si>
    <r>
      <t>Refer to IEC 61508 part 6 or to the SINTEF PDS Method handbook for guidance in estimating the common cause failure fraction β</t>
    </r>
    <r>
      <rPr>
        <vertAlign val="subscript"/>
        <sz val="11"/>
        <color theme="1"/>
        <rFont val="Calibri"/>
        <family val="2"/>
        <scheme val="minor"/>
      </rPr>
      <t>int</t>
    </r>
    <r>
      <rPr>
        <sz val="11"/>
        <color theme="1"/>
        <rFont val="Calibri"/>
        <family val="2"/>
        <scheme val="minor"/>
      </rPr>
      <t xml:space="preserve">.  </t>
    </r>
  </si>
  <si>
    <r>
      <t>Use 10% as the default value for the β</t>
    </r>
    <r>
      <rPr>
        <vertAlign val="subscript"/>
        <sz val="11"/>
        <color theme="1"/>
        <rFont val="Calibri"/>
        <family val="2"/>
        <scheme val="minor"/>
      </rPr>
      <t>int</t>
    </r>
    <r>
      <rPr>
        <sz val="11"/>
        <color theme="1"/>
        <rFont val="Calibri"/>
        <family val="2"/>
        <scheme val="minor"/>
      </rPr>
      <t xml:space="preserve"> factor in sensor and final element subsystems if it has not been calculated specifically.</t>
    </r>
  </si>
  <si>
    <t>FOR EXAMPLE ONLY. This summary uses the SF sheet names to index named ranges on the individual sheets.  Use the sheet name as an index.  
The reference functions will not work with sheet names that contain spaces. Copy the example row.</t>
  </si>
  <si>
    <t>MTTFS (years)</t>
  </si>
  <si>
    <r>
      <t xml:space="preserve">The safety function analysis sheet contains cells to record </t>
    </r>
    <r>
      <rPr>
        <b/>
        <sz val="11"/>
        <color theme="1"/>
        <rFont val="Calibri"/>
        <family val="2"/>
        <scheme val="minor"/>
      </rPr>
      <t>systematic capability</t>
    </r>
    <r>
      <rPr>
        <sz val="11"/>
        <color theme="1"/>
        <rFont val="Calibri"/>
        <family val="2"/>
        <scheme val="minor"/>
      </rPr>
      <t xml:space="preserve">.  
Systematic capability only applies to devices that are claimed to comply to IEC 61508.  Select </t>
    </r>
    <r>
      <rPr>
        <b/>
        <sz val="11"/>
        <color theme="1"/>
        <rFont val="Calibri"/>
        <family val="2"/>
        <scheme val="minor"/>
      </rPr>
      <t>0</t>
    </r>
    <r>
      <rPr>
        <sz val="11"/>
        <color theme="1"/>
        <rFont val="Calibri"/>
        <family val="2"/>
        <scheme val="minor"/>
      </rPr>
      <t xml:space="preserve"> from the dropdown options if systematic capability is not applicable, the cell is formatted to show N/A when 0 is selected.  Systematic capability does not apply for devices selected on the basis of prior use or on the basis of compliance to other appropriate standards.  </t>
    </r>
  </si>
  <si>
    <t>Do not use spaces in the FMEA sheet names.  The lookup reference functions will not work if the sheet names include spaces.</t>
  </si>
  <si>
    <t>Subsystem PFD Estimates</t>
  </si>
  <si>
    <r>
      <t>The estimate for spurious trip rate and  MTTFS (mean time to fail safe) only includes the rate of undetected safe faulures, λ</t>
    </r>
    <r>
      <rPr>
        <vertAlign val="subscript"/>
        <sz val="11"/>
        <color theme="1"/>
        <rFont val="Calibri"/>
        <family val="2"/>
        <scheme val="minor"/>
      </rPr>
      <t>SU</t>
    </r>
    <r>
      <rPr>
        <sz val="11"/>
        <color theme="1"/>
        <rFont val="Calibri"/>
        <family val="2"/>
        <scheme val="minor"/>
      </rPr>
      <t>. 
The assumption is that a diagnostic alarm will be raised for detected faults (λ</t>
    </r>
    <r>
      <rPr>
        <vertAlign val="subscript"/>
        <sz val="11"/>
        <color theme="1"/>
        <rFont val="Calibri"/>
        <family val="2"/>
        <scheme val="minor"/>
      </rPr>
      <t>SD</t>
    </r>
    <r>
      <rPr>
        <sz val="11"/>
        <color theme="1"/>
        <rFont val="Calibri"/>
        <family val="2"/>
        <scheme val="minor"/>
      </rPr>
      <t xml:space="preserve"> and λ</t>
    </r>
    <r>
      <rPr>
        <vertAlign val="subscript"/>
        <sz val="11"/>
        <color theme="1"/>
        <rFont val="Calibri"/>
        <family val="2"/>
        <scheme val="minor"/>
      </rPr>
      <t>DD</t>
    </r>
    <r>
      <rPr>
        <sz val="11"/>
        <color theme="1"/>
        <rFont val="Calibri"/>
        <family val="2"/>
        <scheme val="minor"/>
      </rPr>
      <t>) rather than automatically tripping to the safe state.</t>
    </r>
  </si>
  <si>
    <t>The usual practice is to design safety functions using failure rates with a 70% statistical confidence level or 70% certainty level.  Note that statistical confidence levels only apply to measurements of paramaters that have a single true value. Confidence levels may be applied only to the purely random proportion of failure rates for individual electronic components. The OREDA datasets use certainty levels rather than confidence levels because it is clear that different users measure different values of failure rate. In general certainty levels should be used instead of confidence levels.  A certainty level of 70% means that there is a 70% chance that the failure rate can be achieved in operation.  There is a 30% chance that the failure rate will be worse than the chosen value.</t>
  </si>
  <si>
    <t>System designers should establish if the risk target allocated to the safety system already includes some margin with respect to tolerable risk.  If a margin is not included in the target then it is good practice to design safety functions so that the estimated risk reduction is 2 or 3 times higher than the allocated target.  A margin of 3 should be enough to compensate for performance that is worse than the 70% benchmark. If the estimated performance exactly meets the allocated target then there is about a 30% chance that the performance will be worse than the target value.  This may be acceptable if the residual risk is as low as reaonably practicable (ALARP), i.e. further risk reduction is impracticable or the cost of further risk reduction is grossly disproportionate with respect to the benefit.</t>
  </si>
  <si>
    <r>
      <t>Prepare a failure modes and effects analysis (</t>
    </r>
    <r>
      <rPr>
        <b/>
        <sz val="11"/>
        <color theme="1"/>
        <rFont val="Calibri"/>
        <family val="2"/>
        <scheme val="minor"/>
      </rPr>
      <t>FMEA</t>
    </r>
    <r>
      <rPr>
        <sz val="11"/>
        <color theme="1"/>
        <rFont val="Calibri"/>
        <family val="2"/>
        <scheme val="minor"/>
      </rPr>
      <t>) sheet for each distinct type of subsystem.  Copy the example FMEA sheets.</t>
    </r>
  </si>
  <si>
    <t>Date</t>
  </si>
  <si>
    <t>PFH target:</t>
  </si>
  <si>
    <t>/h</t>
  </si>
  <si>
    <t>SF 002</t>
  </si>
  <si>
    <t>PFH achieved:</t>
  </si>
  <si>
    <t>SIL achieved by PFH:</t>
  </si>
  <si>
    <t>Subsystem PFH Estimates</t>
  </si>
  <si>
    <t>PFH</t>
  </si>
  <si>
    <t>CCF term</t>
  </si>
  <si>
    <r>
      <t>λ</t>
    </r>
    <r>
      <rPr>
        <i/>
        <vertAlign val="subscript"/>
        <sz val="11"/>
        <color theme="1"/>
        <rFont val="Cambria"/>
        <family val="1"/>
      </rPr>
      <t>du</t>
    </r>
    <r>
      <rPr>
        <i/>
        <sz val="11"/>
        <color theme="1"/>
        <rFont val="Cambria"/>
        <family val="1"/>
      </rPr>
      <t xml:space="preserve">
</t>
    </r>
    <r>
      <rPr>
        <sz val="11"/>
        <color theme="1"/>
        <rFont val="Calibri"/>
        <family val="2"/>
      </rPr>
      <t>per hour</t>
    </r>
  </si>
  <si>
    <r>
      <t>λ</t>
    </r>
    <r>
      <rPr>
        <i/>
        <vertAlign val="subscript"/>
        <sz val="11"/>
        <color theme="1"/>
        <rFont val="Cambria"/>
        <family val="1"/>
      </rPr>
      <t>dd</t>
    </r>
    <r>
      <rPr>
        <i/>
        <sz val="11"/>
        <color theme="1"/>
        <rFont val="Cambria"/>
        <family val="1"/>
      </rPr>
      <t xml:space="preserve">
</t>
    </r>
    <r>
      <rPr>
        <sz val="11"/>
        <color theme="1"/>
        <rFont val="Calibri"/>
        <family val="2"/>
      </rPr>
      <t>per hour</t>
    </r>
  </si>
  <si>
    <r>
      <t>λ</t>
    </r>
    <r>
      <rPr>
        <i/>
        <vertAlign val="subscript"/>
        <sz val="11"/>
        <color theme="1"/>
        <rFont val="Cambria"/>
        <family val="1"/>
      </rPr>
      <t>d</t>
    </r>
    <r>
      <rPr>
        <i/>
        <sz val="11"/>
        <color theme="1"/>
        <rFont val="Cambria"/>
        <family val="1"/>
      </rPr>
      <t xml:space="preserve">
</t>
    </r>
    <r>
      <rPr>
        <sz val="11"/>
        <color theme="1"/>
        <rFont val="Calibri"/>
        <family val="2"/>
      </rPr>
      <t>per hour</t>
    </r>
  </si>
  <si>
    <r>
      <t xml:space="preserve">MTTR
</t>
    </r>
    <r>
      <rPr>
        <sz val="11"/>
        <color theme="1"/>
        <rFont val="Calibri"/>
        <family val="2"/>
        <scheme val="minor"/>
      </rPr>
      <t>hours</t>
    </r>
  </si>
  <si>
    <r>
      <t xml:space="preserve">MRT
</t>
    </r>
    <r>
      <rPr>
        <sz val="11"/>
        <color theme="1"/>
        <rFont val="Calibri"/>
        <family val="2"/>
        <scheme val="minor"/>
      </rPr>
      <t>hours</t>
    </r>
  </si>
  <si>
    <t>Target PFH</t>
  </si>
  <si>
    <t>Estimated PFH</t>
  </si>
  <si>
    <t>PFH
Achieved</t>
  </si>
  <si>
    <r>
      <t>Test period T</t>
    </r>
    <r>
      <rPr>
        <b/>
        <vertAlign val="subscript"/>
        <sz val="11"/>
        <color theme="1"/>
        <rFont val="Calibri"/>
        <family val="2"/>
        <scheme val="minor"/>
      </rPr>
      <t xml:space="preserve">1 </t>
    </r>
    <r>
      <rPr>
        <b/>
        <sz val="11"/>
        <color theme="1"/>
        <rFont val="Calibri"/>
        <family val="2"/>
        <scheme val="minor"/>
      </rPr>
      <t>(y)</t>
    </r>
  </si>
  <si>
    <r>
      <t xml:space="preserve">SF Total </t>
    </r>
    <r>
      <rPr>
        <b/>
        <i/>
        <sz val="14"/>
        <color theme="1"/>
        <rFont val="Cambria"/>
        <family val="1"/>
      </rPr>
      <t>PFH</t>
    </r>
  </si>
  <si>
    <t>Low demand mode</t>
  </si>
  <si>
    <r>
      <t>λ</t>
    </r>
    <r>
      <rPr>
        <i/>
        <vertAlign val="subscript"/>
        <sz val="11"/>
        <color theme="1"/>
        <rFont val="Cambria"/>
        <family val="1"/>
      </rPr>
      <t>su</t>
    </r>
    <r>
      <rPr>
        <i/>
        <sz val="11"/>
        <color theme="1"/>
        <rFont val="Cambria"/>
        <family val="1"/>
      </rPr>
      <t xml:space="preserve">
</t>
    </r>
    <r>
      <rPr>
        <sz val="11"/>
        <color theme="1"/>
        <rFont val="Calibri"/>
        <family val="2"/>
      </rPr>
      <t>per hour</t>
    </r>
  </si>
  <si>
    <t>Staggered testing</t>
  </si>
  <si>
    <t>Staggered testing:</t>
  </si>
  <si>
    <t>True/False</t>
  </si>
  <si>
    <t>Users should be aware that extending test intervals of actuated valves beyond one year can be expected to dramatically increase the failure rates.  Valves need to be moved at least once or twice a year to prevent them from sticking.  Staggered testing only makes sense if the test interval for each individual valve is no more than 1 year. Staggered testing should not be used to justiy extending T1 to greater than 1 year.</t>
  </si>
  <si>
    <t>ST multiplier</t>
  </si>
  <si>
    <t>Staggered?</t>
  </si>
  <si>
    <r>
      <t xml:space="preserve">The 61508 Association, </t>
    </r>
    <r>
      <rPr>
        <i/>
        <sz val="11"/>
        <color theme="1"/>
        <rFont val="Calibri"/>
        <family val="2"/>
        <scheme val="minor"/>
      </rPr>
      <t>T6A042 Development Paper – Effects of Proof Testing</t>
    </r>
    <r>
      <rPr>
        <sz val="11"/>
        <color theme="1"/>
        <rFont val="Calibri"/>
        <family val="2"/>
        <scheme val="minor"/>
      </rPr>
      <t xml:space="preserve">  Version 0.2, February 2022</t>
    </r>
  </si>
  <si>
    <t xml:space="preserve">The benefit of staggered testing is that it enables common cause failuresto be revealed at intervals of T1/N rather than T1.  The model assumes that failures found in individual devices are analysed.  Other similar devices should be immediately inspected and/or tested if the causes of failure are expected to affect other similar devices in a similar way. </t>
  </si>
  <si>
    <t>Extended as per Dr David J Smith  ‘Reliability, Maintainability and Risk’, 9th Ed. Butterworth Heinemann. 2017</t>
  </si>
  <si>
    <t>SINTEF 2013</t>
  </si>
  <si>
    <t>From IEC 61058-6</t>
  </si>
  <si>
    <t>Staggered testing is usually practicable for sensors, because they can be bypassed for testing on-line during normal operation. There is no point in staggering testing of final elements in any 1oo2 arrangement because if one element is tripped then the process will be oput into the safe state and normal operation interrupted. We might as well trip the other element at the same opportunity.  Staggered testing is beneficial for final element architectures such as 2oo3 (like the Woodward QuickTrip valves) or 2oo3 x (1oo2), i.e. 3 parallel branches of 1oo2 valves.</t>
  </si>
  <si>
    <t>The option of staggered testing can be selected for sensors and final elements.  The 'Regular test period T1'  is then the maximum interval between test and inspection on any one device.  The time interval between tests on N different channels is T1/N.  For instance with 2 channels and T1 = 1 year,  the tests on individual devices are at 6 month intervals.   With 3 channels the individual tests would be at 4 month intervals.  The calculation method is described in references 11 and 15.</t>
  </si>
  <si>
    <t>Contributors</t>
  </si>
  <si>
    <t>Ray Martin (for the 61508 Association)</t>
  </si>
  <si>
    <t>CCF T/N</t>
  </si>
  <si>
    <t>Sensor</t>
  </si>
  <si>
    <t>Logic</t>
  </si>
  <si>
    <t>Final element</t>
  </si>
  <si>
    <t>First release for general use</t>
  </si>
  <si>
    <t>0.0.</t>
  </si>
  <si>
    <t xml:space="preserve">Jahanian, Hamid.  ‘Generalizing PFD formulas of IEC 61508 for KooN configurations’. 
ISA Transactions 56  pp 168-174. 2015 </t>
  </si>
  <si>
    <t>The generalised MooN equation used in this workbook is based on equations published in references 4, 11, 13 and 16</t>
  </si>
  <si>
    <t>The logic solver FMEA may be simplified and refer to consolidated data from the device safety manual. Sheet FMEA_2 shows an example.  Logic solvers do not usually make a significant contribution to the overall safety function failure probability.</t>
  </si>
  <si>
    <t xml:space="preserve">Refer to SILsafedata.com (reference 10 below) for the typical ranges of failure rates that can be achieved in practice.  Beware that some equipment certificates show failure rates that are 30 to 50 times lower than these ranges because they specifically exclude systematic failures - but those are the failures that matter most.  </t>
  </si>
  <si>
    <t>Understand that many failure rates will depend on the decisions made in design, installation and maintenance.  For example, loose or corroded wiring connections may lead to a dangerous failure through increased impedance in a sensor loop.  Loose connections can be avoided by using high integrity terminals (such as Ex n or Ex e designs).  Corrosion in wiring connections can be minimised by using materials suitable for the environment and by protecting termination boxes from weather.   Tracking between terminals can be minimised by using Ex e designs and again by providing appropriate ingress protection and weather protection.  The average rate of failure due to high impedance connections could be anywhere between 3 FITS and 300 FITS.</t>
  </si>
  <si>
    <t>Determine whether each failure mode is safe or dangerous in the context of the specific application.  Safe failures increase the probability that the safety function will put the equipment into a safe state. Dangerous failures increase the probability that the safety function will fail to achieve or maintain a safe state.</t>
  </si>
  <si>
    <t>Identify diagnostic functions that have already been included in the design or that can be added.  Note that a diagnostic function that is claimed to have reliability better than 90% would have to be subject to appropriate techniques and measures to prevent failure.</t>
  </si>
  <si>
    <t>Identify which faults and failures can be revealed by proof test and inspection. Similarly, inspection and test could be claimed to have coverage better than 90%, but would have to be subject to appropriate techniques and measures. Some form of independent checking or review would usually be needed to achieve better than 99% coverage.</t>
  </si>
  <si>
    <t xml:space="preserve">The same FMEA can be referenced by several different safety functions.   The SF worksheet looks up failure rates from the referenced FMEA sheets. </t>
  </si>
  <si>
    <r>
      <t>Define the variable parameters in each subsystem section on the SF worksheet: 
M out of N voting architecture, the test intervals T</t>
    </r>
    <r>
      <rPr>
        <vertAlign val="subscript"/>
        <sz val="11"/>
        <color theme="1"/>
        <rFont val="Calibri"/>
        <family val="2"/>
        <scheme val="minor"/>
      </rPr>
      <t>1</t>
    </r>
    <r>
      <rPr>
        <sz val="11"/>
        <color theme="1"/>
        <rFont val="Calibri"/>
        <family val="2"/>
        <scheme val="minor"/>
      </rPr>
      <t xml:space="preserve"> and T</t>
    </r>
    <r>
      <rPr>
        <vertAlign val="subscript"/>
        <sz val="11"/>
        <color theme="1"/>
        <rFont val="Calibri"/>
        <family val="2"/>
        <scheme val="minor"/>
      </rPr>
      <t>2</t>
    </r>
    <r>
      <rPr>
        <sz val="11"/>
        <color theme="1"/>
        <rFont val="Calibri"/>
        <family val="2"/>
        <scheme val="minor"/>
      </rPr>
      <t>, the MTTR, MRT and β</t>
    </r>
    <r>
      <rPr>
        <vertAlign val="subscript"/>
        <sz val="11"/>
        <color theme="1"/>
        <rFont val="Calibri"/>
        <family val="2"/>
        <scheme val="minor"/>
      </rPr>
      <t>int</t>
    </r>
    <r>
      <rPr>
        <sz val="11"/>
        <color theme="1"/>
        <rFont val="Calibri"/>
        <family val="2"/>
        <scheme val="minor"/>
      </rPr>
      <t xml:space="preserve"> factor.</t>
    </r>
  </si>
  <si>
    <t xml:space="preserve">Logic solver 1oo2D architecture calculations are not supported.  Use 2oo3 as a close approximation. The PFD and spurious trip rate of  1oo2D is similar to 2oo3.  The differences are negligible given the uncertainty in failure rates.  </t>
  </si>
  <si>
    <t xml:space="preserve">A detailed explanation of the failure probability calculation model is available at: </t>
  </si>
  <si>
    <t>High demand mode</t>
  </si>
  <si>
    <t>Continuous mode</t>
  </si>
  <si>
    <t>SF_1_LD</t>
  </si>
  <si>
    <t>SF 003</t>
  </si>
  <si>
    <t>N/A</t>
  </si>
  <si>
    <r>
      <t>PFH</t>
    </r>
    <r>
      <rPr>
        <b/>
        <vertAlign val="subscript"/>
        <sz val="11"/>
        <color theme="1"/>
        <rFont val="Calibri"/>
        <family val="2"/>
        <scheme val="minor"/>
      </rPr>
      <t>DMooN</t>
    </r>
  </si>
  <si>
    <t>MDT1oo2</t>
  </si>
  <si>
    <r>
      <t>voted T</t>
    </r>
    <r>
      <rPr>
        <b/>
        <vertAlign val="subscript"/>
        <sz val="11"/>
        <color theme="1"/>
        <rFont val="Calibri"/>
        <family val="2"/>
        <scheme val="minor"/>
      </rPr>
      <t>1</t>
    </r>
    <r>
      <rPr>
        <b/>
        <sz val="11"/>
        <color theme="1"/>
        <rFont val="Calibri"/>
        <family val="2"/>
        <scheme val="minor"/>
      </rPr>
      <t>+T</t>
    </r>
    <r>
      <rPr>
        <b/>
        <vertAlign val="subscript"/>
        <sz val="11"/>
        <color theme="1"/>
        <rFont val="Calibri"/>
        <family val="2"/>
        <scheme val="minor"/>
      </rPr>
      <t>2</t>
    </r>
    <r>
      <rPr>
        <b/>
        <sz val="11"/>
        <color theme="1"/>
        <rFont val="Calibri"/>
        <family val="2"/>
        <scheme val="minor"/>
      </rPr>
      <t>+MTTR term, average before</t>
    </r>
  </si>
  <si>
    <t>DISCLAIMER: Whilst every effort has been made to ensure the accuracy of the information contained in this spreadsheet
neither “The 61508 Association” nor its members will assume any liability for any use made thereof.</t>
  </si>
  <si>
    <t>Simple rule of thumb</t>
  </si>
  <si>
    <t>Spurious trip rate:</t>
  </si>
  <si>
    <t>This model assumes that the safety function acts to put equipment into the safe state in response to detected failures in architectures with no fault tolerance (M=N)</t>
  </si>
  <si>
    <t>Staggered tests reduce T for the CCF terms, assuming that identification of CCF is included in analysis of all failures</t>
  </si>
  <si>
    <t>A MooN architecture will trip spuriously if at least M channels have undetected safe failures putting them into</t>
  </si>
  <si>
    <t>the trip state.  The remaining N-M channels might be in a normal healthy state or they might have dangerous</t>
  </si>
  <si>
    <t>function to act as specified.  The columns correspond to N, the total number of channels.</t>
  </si>
  <si>
    <r>
      <t xml:space="preserve">The rows in the  </t>
    </r>
    <r>
      <rPr>
        <b/>
        <sz val="11"/>
        <color theme="1"/>
        <rFont val="Calibri"/>
        <family val="2"/>
        <scheme val="minor"/>
      </rPr>
      <t>β multiplier</t>
    </r>
    <r>
      <rPr>
        <sz val="11"/>
        <color theme="1"/>
        <rFont val="Calibri"/>
        <family val="2"/>
        <scheme val="minor"/>
      </rPr>
      <t xml:space="preserve"> table correspond to the number of channels that are required to operate correctly for the</t>
    </r>
  </si>
  <si>
    <t xml:space="preserve">A MooN architecture needs a minimum of M channels in the trip state to trip successfully on demand. The β </t>
  </si>
  <si>
    <t>scaling factor used for PFD calculations is taken from the Mth row and the Nth column</t>
  </si>
  <si>
    <t xml:space="preserve">faults that prevent trip.  N-M+1 channels are required to be in the non-trip state to avoid spurious trip. </t>
  </si>
  <si>
    <t>The β  scaling factor used in estimating the overall spurious trip rate is therefore taken from the</t>
  </si>
  <si>
    <t xml:space="preserve">(N-M+1)th row and the Nth column. </t>
  </si>
  <si>
    <t>This simple rule of thumb is valid if Beta is in the range 5% to 10%</t>
  </si>
  <si>
    <t>Created and licensed by I&amp;E Systems Pty Ltd with support from The 61508 Association</t>
  </si>
  <si>
    <t>Synchronised testing:</t>
  </si>
  <si>
    <t>0.1.</t>
  </si>
  <si>
    <t>MooN model, with the average PFD of 1oo1 raised to the (N-M+1)th power</t>
  </si>
  <si>
    <r>
      <t>% lower than the 'PFD</t>
    </r>
    <r>
      <rPr>
        <b/>
        <vertAlign val="subscript"/>
        <sz val="11"/>
        <color theme="1"/>
        <rFont val="Calibri"/>
        <family val="2"/>
        <scheme val="minor"/>
      </rPr>
      <t>MooN</t>
    </r>
    <r>
      <rPr>
        <b/>
        <sz val="11"/>
        <color theme="1"/>
        <rFont val="Calibri"/>
        <family val="2"/>
        <scheme val="minor"/>
      </rPr>
      <t>' model</t>
    </r>
  </si>
  <si>
    <r>
      <t>MooN model Total PFD</t>
    </r>
    <r>
      <rPr>
        <b/>
        <i/>
        <vertAlign val="subscript"/>
        <sz val="11"/>
        <color theme="1"/>
        <rFont val="Calibri"/>
        <family val="2"/>
        <scheme val="minor"/>
      </rPr>
      <t>AVG</t>
    </r>
  </si>
  <si>
    <t>Added correction factor for synchronsed testing into the 'average before' model for low demand mode, deleted the expanded model</t>
  </si>
  <si>
    <t>0.2.</t>
  </si>
  <si>
    <t>Corrected range name reference for RRF_target on summary sheet</t>
  </si>
  <si>
    <t>0.3.</t>
  </si>
  <si>
    <t>Corrected link to explanatory notes to'.pdf' instead of '.docx'</t>
  </si>
  <si>
    <t>0.4.</t>
  </si>
  <si>
    <t>Updated link to explanatory notes</t>
  </si>
  <si>
    <t>https://www.iesystems.com.au/The-MooN-SIF-model.pdf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</si>
</sst>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00_-;\-* #,##0.0000_-;_-* &quot;-&quot;??_-;_-@_-"/>
    <numFmt numFmtId="165" formatCode="0.0000"/>
    <numFmt numFmtId="166" formatCode="0.000"/>
    <numFmt numFmtId="167" formatCode="_-* #,##0_-;\-* #,##0_-;_-* &quot;-&quot;??_-;_-@_-"/>
    <numFmt numFmtId="168" formatCode="0.0E+00"/>
    <numFmt numFmtId="169" formatCode="_-* #,##0;\-* #,##0;_-* &quot;-&quot;??_-;_-@_-"/>
    <numFmt numFmtId="170" formatCode="0E+00"/>
    <numFmt numFmtId="171" formatCode="&quot;SIL &quot;0;;&quot;non SIL&quot;"/>
    <numFmt numFmtId="172" formatCode="0.E+00"/>
    <numFmt numFmtId="173" formatCode="&quot;SC &quot;0;;&quot;N/A&quot;"/>
    <numFmt numFmtId="174" formatCode="0.0%"/>
  </numFmts>
  <fonts count="5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color theme="1"/>
      <name val="Cambria"/>
      <family val="1"/>
    </font>
    <font>
      <i/>
      <vertAlign val="subscript"/>
      <sz val="11"/>
      <color theme="1"/>
      <name val="Cambria"/>
      <family val="1"/>
    </font>
    <font>
      <b/>
      <i/>
      <sz val="11"/>
      <color theme="1"/>
      <name val="Cambria"/>
      <family val="1"/>
    </font>
    <font>
      <i/>
      <sz val="11"/>
      <color theme="1"/>
      <name val="Cambria"/>
      <family val="2"/>
    </font>
    <font>
      <b/>
      <i/>
      <sz val="11"/>
      <color theme="1"/>
      <name val="Cambria"/>
      <family val="2"/>
    </font>
    <font>
      <b/>
      <i/>
      <vertAlign val="subscript"/>
      <sz val="11"/>
      <color theme="1"/>
      <name val="Cambria"/>
      <family val="1"/>
    </font>
    <font>
      <b/>
      <i/>
      <sz val="11"/>
      <color theme="1"/>
      <name val="Calibri"/>
      <family val="2"/>
      <scheme val="minor"/>
    </font>
    <font>
      <b/>
      <vertAlign val="subscript"/>
      <sz val="11"/>
      <color theme="1"/>
      <name val="Calibri"/>
      <family val="2"/>
      <scheme val="minor"/>
    </font>
    <font>
      <b/>
      <i/>
      <vertAlign val="subscript"/>
      <sz val="11"/>
      <color theme="1"/>
      <name val="Calibri"/>
      <family val="2"/>
      <scheme val="minor"/>
    </font>
    <font>
      <b/>
      <sz val="10"/>
      <color theme="1"/>
      <name val="Calibri"/>
      <family val="2"/>
      <scheme val="minor"/>
    </font>
    <font>
      <sz val="14"/>
      <color theme="1"/>
      <name val="Arial"/>
      <family val="2"/>
    </font>
    <font>
      <i/>
      <sz val="14"/>
      <color rgb="FF000000"/>
      <name val="Cambria"/>
      <family val="1"/>
    </font>
    <font>
      <b/>
      <sz val="16"/>
      <color theme="1"/>
      <name val="Arial"/>
      <family val="2"/>
    </font>
    <font>
      <b/>
      <sz val="16"/>
      <color theme="1"/>
      <name val="Calibri"/>
      <family val="2"/>
      <scheme val="minor"/>
    </font>
    <font>
      <b/>
      <sz val="14"/>
      <color theme="1"/>
      <name val="Arial"/>
      <family val="2"/>
    </font>
    <font>
      <sz val="12"/>
      <color theme="1"/>
      <name val="Arial"/>
      <family val="2"/>
    </font>
    <font>
      <b/>
      <vertAlign val="superscript"/>
      <sz val="11"/>
      <color theme="1"/>
      <name val="Calibri"/>
      <family val="2"/>
      <scheme val="minor"/>
    </font>
    <font>
      <b/>
      <sz val="11"/>
      <color rgb="FF0070C0"/>
      <name val="Calibri"/>
      <family val="2"/>
      <scheme val="minor"/>
    </font>
    <font>
      <sz val="11"/>
      <color rgb="FF9C0006"/>
      <name val="Calibri"/>
      <family val="2"/>
      <scheme val="minor"/>
    </font>
    <font>
      <b/>
      <sz val="12"/>
      <name val="Arial"/>
      <family val="2"/>
    </font>
    <font>
      <b/>
      <sz val="10"/>
      <name val="Arial"/>
      <family val="2"/>
    </font>
    <font>
      <b/>
      <sz val="11"/>
      <color theme="1"/>
      <name val="Cambria"/>
      <family val="1"/>
    </font>
    <font>
      <b/>
      <sz val="11"/>
      <color theme="1"/>
      <name val="Calibri"/>
      <family val="1"/>
      <scheme val="minor"/>
    </font>
    <font>
      <b/>
      <sz val="10"/>
      <name val="Cambria"/>
      <family val="1"/>
    </font>
    <font>
      <sz val="11"/>
      <name val="Calibri"/>
      <family val="2"/>
      <scheme val="minor"/>
    </font>
    <font>
      <b/>
      <sz val="12"/>
      <color rgb="FF00B0F0"/>
      <name val="Arial"/>
      <family val="2"/>
    </font>
    <font>
      <sz val="11"/>
      <color theme="1"/>
      <name val="Calibri"/>
      <family val="2"/>
    </font>
    <font>
      <b/>
      <sz val="11"/>
      <color rgb="FF00B0F0"/>
      <name val="Calibri"/>
      <family val="2"/>
      <scheme val="minor"/>
    </font>
    <font>
      <b/>
      <sz val="7"/>
      <name val="Arial"/>
      <family val="2"/>
    </font>
    <font>
      <sz val="11"/>
      <color theme="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vertAlign val="superscript"/>
      <sz val="11"/>
      <color theme="1"/>
      <name val="Calibri"/>
      <family val="2"/>
      <scheme val="minor"/>
    </font>
    <font>
      <b/>
      <sz val="12"/>
      <color theme="1"/>
      <name val="Arial"/>
      <family val="2"/>
    </font>
    <font>
      <b/>
      <sz val="12"/>
      <color rgb="FF0070C0"/>
      <name val="Calibri"/>
      <family val="2"/>
      <scheme val="minor"/>
    </font>
    <font>
      <b/>
      <sz val="8"/>
      <name val="Calibri"/>
      <family val="2"/>
      <scheme val="minor"/>
    </font>
    <font>
      <b/>
      <sz val="14"/>
      <name val="Calibri"/>
      <family val="2"/>
      <scheme val="minor"/>
    </font>
    <font>
      <sz val="14"/>
      <color theme="1"/>
      <name val="Calibri"/>
      <family val="2"/>
      <scheme val="minor"/>
    </font>
    <font>
      <b/>
      <i/>
      <sz val="14"/>
      <color theme="1"/>
      <name val="Cambria"/>
      <family val="1"/>
    </font>
    <font>
      <b/>
      <i/>
      <vertAlign val="subscript"/>
      <sz val="14"/>
      <color theme="1"/>
      <name val="Cambria"/>
      <family val="1"/>
    </font>
    <font>
      <b/>
      <sz val="12"/>
      <name val="Calibri"/>
      <family val="2"/>
      <scheme val="minor"/>
    </font>
    <font>
      <u/>
      <sz val="11"/>
      <color theme="10"/>
      <name val="Calibri"/>
      <family val="2"/>
      <scheme val="minor"/>
    </font>
    <font>
      <b/>
      <sz val="18"/>
      <color theme="1"/>
      <name val="Calibri"/>
      <family val="2"/>
      <scheme val="minor"/>
    </font>
    <font>
      <vertAlign val="subscript"/>
      <sz val="11"/>
      <color theme="1"/>
      <name val="Calibri"/>
      <family val="2"/>
      <scheme val="minor"/>
    </font>
    <font>
      <b/>
      <vertAlign val="subscript"/>
      <sz val="11"/>
      <color theme="1"/>
      <name val="Arial"/>
      <family val="2"/>
    </font>
    <font>
      <sz val="8"/>
      <name val="Calibri"/>
      <family val="2"/>
      <scheme val="minor"/>
    </font>
    <font>
      <b/>
      <sz val="8"/>
      <color theme="1"/>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rgb="FFFFC7CE"/>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3" borderId="0" applyNumberFormat="0" applyBorder="0" applyAlignment="0" applyProtection="0"/>
    <xf numFmtId="0" fontId="47" fillId="0" borderId="0" applyNumberFormat="0" applyFill="0" applyBorder="0" applyAlignment="0" applyProtection="0"/>
  </cellStyleXfs>
  <cellXfs count="254">
    <xf numFmtId="0" fontId="0" fillId="0" borderId="0" xfId="0"/>
    <xf numFmtId="0" fontId="3" fillId="0" borderId="0" xfId="0" applyFont="1"/>
    <xf numFmtId="0" fontId="4" fillId="0" borderId="0" xfId="0" applyFont="1"/>
    <xf numFmtId="0" fontId="0" fillId="0" borderId="0" xfId="0"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center"/>
    </xf>
    <xf numFmtId="0" fontId="7" fillId="0" borderId="0" xfId="0" applyFont="1"/>
    <xf numFmtId="0" fontId="4" fillId="0" borderId="0" xfId="0" applyFont="1" applyAlignment="1">
      <alignment horizontal="center"/>
    </xf>
    <xf numFmtId="0" fontId="0" fillId="0" borderId="1" xfId="0" applyBorder="1"/>
    <xf numFmtId="0" fontId="8" fillId="0" borderId="0" xfId="0" applyFont="1"/>
    <xf numFmtId="166" fontId="0" fillId="0" borderId="0" xfId="0" applyNumberFormat="1"/>
    <xf numFmtId="0" fontId="6" fillId="0" borderId="0" xfId="0" applyFont="1" applyAlignment="1">
      <alignment horizontal="center" vertical="top"/>
    </xf>
    <xf numFmtId="0" fontId="6" fillId="0" borderId="0" xfId="0" applyFont="1" applyAlignment="1">
      <alignment horizontal="center" vertical="top" wrapText="1"/>
    </xf>
    <xf numFmtId="0" fontId="2" fillId="0" borderId="0" xfId="0" applyFont="1"/>
    <xf numFmtId="165" fontId="2" fillId="0" borderId="0" xfId="0" applyNumberFormat="1" applyFont="1"/>
    <xf numFmtId="0" fontId="2" fillId="0" borderId="0" xfId="0" applyFont="1" applyAlignment="1">
      <alignment horizontal="center"/>
    </xf>
    <xf numFmtId="0" fontId="2" fillId="0" borderId="0" xfId="0" applyFont="1" applyAlignment="1">
      <alignment horizontal="center" vertical="top" wrapText="1"/>
    </xf>
    <xf numFmtId="0" fontId="10" fillId="0" borderId="0" xfId="0" applyFont="1" applyAlignment="1">
      <alignment horizontal="right" vertical="top"/>
    </xf>
    <xf numFmtId="0" fontId="13" fillId="0" borderId="0" xfId="0" applyFont="1" applyAlignment="1">
      <alignment horizontal="center" vertical="top" wrapText="1"/>
    </xf>
    <xf numFmtId="0" fontId="8" fillId="0" borderId="0" xfId="0" applyFont="1" applyAlignment="1">
      <alignment horizontal="center" vertical="top" wrapText="1"/>
    </xf>
    <xf numFmtId="0" fontId="10" fillId="0" borderId="0" xfId="0" applyFont="1" applyAlignment="1">
      <alignment horizontal="center" vertical="top"/>
    </xf>
    <xf numFmtId="164" fontId="2" fillId="0" borderId="0" xfId="1" applyNumberFormat="1" applyFont="1"/>
    <xf numFmtId="0" fontId="2" fillId="0" borderId="0" xfId="0" applyFont="1" applyAlignment="1">
      <alignment horizontal="right"/>
    </xf>
    <xf numFmtId="9" fontId="0" fillId="0" borderId="0" xfId="0" applyNumberFormat="1"/>
    <xf numFmtId="3" fontId="0" fillId="0" borderId="0" xfId="0" applyNumberFormat="1"/>
    <xf numFmtId="0" fontId="0" fillId="2" borderId="0" xfId="0" applyFill="1" applyAlignment="1">
      <alignment horizontal="center"/>
    </xf>
    <xf numFmtId="0" fontId="4" fillId="0" borderId="0" xfId="0" applyFont="1" applyAlignment="1">
      <alignment wrapText="1"/>
    </xf>
    <xf numFmtId="0" fontId="8" fillId="0" borderId="0" xfId="0" applyFont="1" applyAlignment="1">
      <alignment horizontal="center" wrapText="1"/>
    </xf>
    <xf numFmtId="0" fontId="14" fillId="0" borderId="0" xfId="0" applyFont="1" applyAlignment="1">
      <alignment vertical="center"/>
    </xf>
    <xf numFmtId="0" fontId="14" fillId="0" borderId="0" xfId="0" applyFont="1" applyAlignment="1">
      <alignment horizontal="left" vertical="center" indent="5"/>
    </xf>
    <xf numFmtId="0" fontId="15" fillId="0" borderId="0" xfId="0" applyFont="1" applyAlignment="1">
      <alignment horizontal="left" vertical="center" indent="5"/>
    </xf>
    <xf numFmtId="0" fontId="16" fillId="0" borderId="0" xfId="0" applyFont="1" applyAlignment="1">
      <alignment vertical="center"/>
    </xf>
    <xf numFmtId="0" fontId="17" fillId="0" borderId="0" xfId="0" applyFont="1"/>
    <xf numFmtId="0" fontId="17" fillId="0" borderId="0" xfId="0" applyFont="1" applyAlignment="1">
      <alignment vertical="top"/>
    </xf>
    <xf numFmtId="168" fontId="0" fillId="0" borderId="0" xfId="0" applyNumberFormat="1"/>
    <xf numFmtId="0" fontId="0" fillId="0" borderId="0" xfId="0" applyAlignment="1">
      <alignment vertical="top" wrapText="1"/>
    </xf>
    <xf numFmtId="0" fontId="0" fillId="2" borderId="0" xfId="0" applyFill="1" applyAlignment="1">
      <alignment horizontal="right"/>
    </xf>
    <xf numFmtId="169" fontId="0" fillId="2" borderId="0" xfId="1" applyNumberFormat="1" applyFont="1" applyFill="1" applyAlignment="1">
      <alignment horizontal="right"/>
    </xf>
    <xf numFmtId="0" fontId="21" fillId="0" borderId="0" xfId="0" applyFont="1"/>
    <xf numFmtId="0" fontId="2" fillId="0" borderId="1" xfId="0" applyFont="1" applyBorder="1" applyAlignment="1">
      <alignment vertical="top" wrapText="1"/>
    </xf>
    <xf numFmtId="0" fontId="2" fillId="0" borderId="0" xfId="0" applyFont="1" applyAlignment="1">
      <alignment horizontal="left" vertical="top" wrapText="1"/>
    </xf>
    <xf numFmtId="0" fontId="0" fillId="0" borderId="3" xfId="0" applyBorder="1"/>
    <xf numFmtId="0" fontId="0" fillId="0" borderId="4" xfId="0" applyBorder="1" applyAlignment="1">
      <alignment horizontal="left" vertical="center" indent="1"/>
    </xf>
    <xf numFmtId="0" fontId="0" fillId="0" borderId="2" xfId="0" applyBorder="1"/>
    <xf numFmtId="3" fontId="0" fillId="0" borderId="5" xfId="0" applyNumberFormat="1" applyBorder="1"/>
    <xf numFmtId="0" fontId="0" fillId="0" borderId="7" xfId="0" applyBorder="1"/>
    <xf numFmtId="0" fontId="0" fillId="0" borderId="8" xfId="0" applyBorder="1" applyAlignment="1">
      <alignment horizontal="left" vertical="center" indent="1"/>
    </xf>
    <xf numFmtId="0" fontId="0" fillId="0" borderId="6" xfId="0" applyBorder="1"/>
    <xf numFmtId="11" fontId="0" fillId="0" borderId="0" xfId="0" applyNumberFormat="1"/>
    <xf numFmtId="0" fontId="0" fillId="0" borderId="9" xfId="0" applyBorder="1"/>
    <xf numFmtId="3" fontId="0" fillId="0" borderId="10" xfId="0" applyNumberFormat="1" applyBorder="1"/>
    <xf numFmtId="0" fontId="0" fillId="0" borderId="11" xfId="0" applyBorder="1"/>
    <xf numFmtId="0" fontId="0" fillId="0" borderId="12" xfId="0" applyBorder="1" applyAlignment="1">
      <alignment horizontal="left" vertical="center" indent="1"/>
    </xf>
    <xf numFmtId="0" fontId="0" fillId="0" borderId="0" xfId="0" applyAlignment="1">
      <alignment horizontal="left" vertical="top"/>
    </xf>
    <xf numFmtId="0" fontId="2" fillId="0" borderId="0" xfId="0" applyFont="1" applyAlignment="1">
      <alignment horizontal="left" vertical="top"/>
    </xf>
    <xf numFmtId="0" fontId="23" fillId="0" borderId="0" xfId="0" applyFont="1" applyAlignment="1">
      <alignment horizontal="left" vertical="top"/>
    </xf>
    <xf numFmtId="0" fontId="24" fillId="0" borderId="1" xfId="0" applyFont="1" applyBorder="1" applyAlignment="1">
      <alignment horizontal="center" vertical="top" wrapText="1"/>
    </xf>
    <xf numFmtId="0" fontId="0" fillId="0" borderId="0" xfId="0" applyAlignment="1">
      <alignment horizontal="left" vertical="top" wrapText="1"/>
    </xf>
    <xf numFmtId="0" fontId="26" fillId="0" borderId="1" xfId="0" applyFont="1" applyBorder="1" applyAlignment="1">
      <alignment horizontal="center" vertical="top" wrapText="1"/>
    </xf>
    <xf numFmtId="1" fontId="0" fillId="0" borderId="0" xfId="0" applyNumberFormat="1"/>
    <xf numFmtId="170" fontId="0" fillId="0" borderId="5" xfId="0" applyNumberFormat="1" applyBorder="1"/>
    <xf numFmtId="170" fontId="0" fillId="0" borderId="0" xfId="0" applyNumberFormat="1"/>
    <xf numFmtId="170" fontId="0" fillId="0" borderId="10" xfId="0" applyNumberFormat="1" applyBorder="1"/>
    <xf numFmtId="0" fontId="0" fillId="0" borderId="0" xfId="0" applyAlignment="1">
      <alignment horizontal="center" vertical="top"/>
    </xf>
    <xf numFmtId="9" fontId="0" fillId="0" borderId="4" xfId="0" applyNumberFormat="1" applyBorder="1"/>
    <xf numFmtId="9" fontId="0" fillId="0" borderId="8" xfId="0" applyNumberFormat="1" applyBorder="1"/>
    <xf numFmtId="9" fontId="0" fillId="0" borderId="12" xfId="0" applyNumberFormat="1" applyBorder="1"/>
    <xf numFmtId="0" fontId="0" fillId="0" borderId="0" xfId="0" applyAlignment="1">
      <alignment horizontal="right" vertical="top"/>
    </xf>
    <xf numFmtId="0" fontId="29" fillId="0" borderId="0" xfId="0" applyFont="1" applyAlignment="1">
      <alignment horizontal="left" vertical="top"/>
    </xf>
    <xf numFmtId="167" fontId="0" fillId="0" borderId="0" xfId="1" applyNumberFormat="1" applyFont="1" applyFill="1"/>
    <xf numFmtId="167" fontId="0" fillId="0" borderId="0" xfId="1" applyNumberFormat="1" applyFont="1"/>
    <xf numFmtId="0" fontId="0" fillId="2" borderId="13" xfId="0" applyFill="1" applyBorder="1" applyAlignment="1">
      <alignment horizontal="left" vertical="top"/>
    </xf>
    <xf numFmtId="0" fontId="2" fillId="0" borderId="0" xfId="0" applyFont="1" applyAlignment="1">
      <alignment horizontal="right" vertical="top"/>
    </xf>
    <xf numFmtId="0" fontId="0" fillId="2" borderId="1" xfId="0" applyFill="1" applyBorder="1" applyAlignment="1">
      <alignment horizontal="left" vertical="top" wrapText="1"/>
    </xf>
    <xf numFmtId="0" fontId="0" fillId="0" borderId="0" xfId="0" applyAlignment="1">
      <alignment vertical="top"/>
    </xf>
    <xf numFmtId="0" fontId="0" fillId="5" borderId="0" xfId="0" applyFill="1" applyAlignment="1">
      <alignment horizontal="left" vertical="top"/>
    </xf>
    <xf numFmtId="0" fontId="0" fillId="5" borderId="1" xfId="0" applyFill="1" applyBorder="1" applyAlignment="1">
      <alignment horizontal="left" vertical="top" wrapText="1"/>
    </xf>
    <xf numFmtId="0" fontId="0" fillId="5" borderId="1" xfId="0" applyFill="1" applyBorder="1" applyAlignment="1">
      <alignment horizontal="right" vertical="top" wrapText="1"/>
    </xf>
    <xf numFmtId="0" fontId="28" fillId="5" borderId="1" xfId="3" applyFont="1" applyFill="1" applyBorder="1" applyAlignment="1">
      <alignment horizontal="right" vertical="top" wrapText="1"/>
    </xf>
    <xf numFmtId="9" fontId="0" fillId="5" borderId="1" xfId="0" applyNumberFormat="1" applyFill="1" applyBorder="1" applyAlignment="1">
      <alignment horizontal="center" vertical="top" wrapText="1"/>
    </xf>
    <xf numFmtId="9" fontId="0" fillId="5" borderId="1" xfId="2" applyFont="1" applyFill="1" applyBorder="1" applyAlignment="1">
      <alignment horizontal="center" vertical="top" wrapText="1"/>
    </xf>
    <xf numFmtId="0" fontId="26" fillId="0" borderId="17" xfId="0" applyFont="1" applyBorder="1" applyAlignment="1">
      <alignment horizontal="center" vertical="top" wrapText="1"/>
    </xf>
    <xf numFmtId="0" fontId="2" fillId="0" borderId="0" xfId="0" applyFont="1" applyAlignment="1">
      <alignment horizontal="center" vertical="top"/>
    </xf>
    <xf numFmtId="0" fontId="2" fillId="0" borderId="0" xfId="0" applyFont="1" applyAlignment="1">
      <alignment vertical="top" wrapText="1"/>
    </xf>
    <xf numFmtId="0" fontId="0" fillId="0" borderId="4" xfId="0" applyBorder="1"/>
    <xf numFmtId="0" fontId="0" fillId="0" borderId="12" xfId="0" applyBorder="1"/>
    <xf numFmtId="0" fontId="24" fillId="0" borderId="0" xfId="0" applyFont="1" applyAlignment="1">
      <alignment horizontal="center" wrapText="1"/>
    </xf>
    <xf numFmtId="0" fontId="24" fillId="0" borderId="0" xfId="0" applyFont="1" applyAlignment="1">
      <alignment horizontal="center"/>
    </xf>
    <xf numFmtId="0" fontId="24" fillId="0" borderId="1" xfId="0" applyFont="1" applyBorder="1" applyAlignment="1">
      <alignment horizontal="center"/>
    </xf>
    <xf numFmtId="9" fontId="0" fillId="0" borderId="1" xfId="0" applyNumberFormat="1" applyBorder="1" applyAlignment="1">
      <alignment horizontal="center"/>
    </xf>
    <xf numFmtId="171" fontId="0" fillId="0" borderId="1" xfId="0" applyNumberFormat="1" applyBorder="1" applyAlignment="1">
      <alignment horizontal="center"/>
    </xf>
    <xf numFmtId="0" fontId="32" fillId="0" borderId="0" xfId="0" applyFont="1"/>
    <xf numFmtId="0" fontId="0" fillId="5" borderId="13" xfId="0" applyFill="1" applyBorder="1" applyAlignment="1">
      <alignment horizontal="left" vertical="top"/>
    </xf>
    <xf numFmtId="0" fontId="0" fillId="4" borderId="0" xfId="0" applyFill="1" applyAlignment="1">
      <alignment horizontal="center"/>
    </xf>
    <xf numFmtId="0" fontId="0" fillId="6" borderId="1" xfId="0" applyFill="1" applyBorder="1" applyAlignment="1">
      <alignment horizontal="left" vertical="top" wrapText="1"/>
    </xf>
    <xf numFmtId="9" fontId="0" fillId="6" borderId="1" xfId="0" applyNumberFormat="1" applyFill="1" applyBorder="1" applyAlignment="1">
      <alignment horizontal="center" vertical="top" wrapText="1"/>
    </xf>
    <xf numFmtId="1" fontId="0" fillId="2" borderId="1" xfId="0" applyNumberFormat="1" applyFill="1" applyBorder="1" applyAlignment="1">
      <alignment horizontal="right" vertical="top" wrapText="1"/>
    </xf>
    <xf numFmtId="1" fontId="0" fillId="6" borderId="1" xfId="0" applyNumberFormat="1" applyFill="1" applyBorder="1" applyAlignment="1">
      <alignment horizontal="right" vertical="top" wrapText="1"/>
    </xf>
    <xf numFmtId="0" fontId="18" fillId="0" borderId="0" xfId="0" applyFont="1" applyAlignment="1">
      <alignment vertical="top"/>
    </xf>
    <xf numFmtId="0" fontId="0" fillId="0" borderId="0" xfId="0" applyAlignment="1">
      <alignment horizontal="left"/>
    </xf>
    <xf numFmtId="0" fontId="36" fillId="0" borderId="0" xfId="0" applyFont="1"/>
    <xf numFmtId="1" fontId="14" fillId="0" borderId="0" xfId="0" applyNumberFormat="1" applyFont="1" applyAlignment="1">
      <alignment horizontal="left" vertical="center" indent="3"/>
    </xf>
    <xf numFmtId="0" fontId="14" fillId="0" borderId="0" xfId="0" applyFont="1" applyAlignment="1">
      <alignment horizontal="left" vertical="center" indent="3"/>
    </xf>
    <xf numFmtId="0" fontId="1" fillId="0" borderId="0" xfId="0" applyFont="1" applyAlignment="1">
      <alignment horizontal="justify" vertical="center" wrapText="1"/>
    </xf>
    <xf numFmtId="0" fontId="1" fillId="0" borderId="0" xfId="0" applyFont="1" applyAlignment="1">
      <alignment horizontal="justify"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17" fillId="2" borderId="0" xfId="0" applyFont="1" applyFill="1" applyAlignment="1">
      <alignment horizontal="center" vertical="top"/>
    </xf>
    <xf numFmtId="0" fontId="16" fillId="0" borderId="0" xfId="0" applyFont="1" applyAlignment="1">
      <alignment vertical="top"/>
    </xf>
    <xf numFmtId="0" fontId="2" fillId="0" borderId="0" xfId="0" applyFont="1" applyAlignment="1">
      <alignment vertical="top"/>
    </xf>
    <xf numFmtId="0" fontId="0" fillId="2" borderId="0" xfId="0" applyFill="1" applyAlignment="1">
      <alignment horizontal="center" vertical="top"/>
    </xf>
    <xf numFmtId="0" fontId="2" fillId="7" borderId="0" xfId="0" applyFont="1" applyFill="1" applyAlignment="1">
      <alignment vertical="top"/>
    </xf>
    <xf numFmtId="0" fontId="37" fillId="0" borderId="0" xfId="0" applyFont="1" applyAlignment="1">
      <alignment vertical="top"/>
    </xf>
    <xf numFmtId="0" fontId="16" fillId="0" borderId="0" xfId="0" applyFont="1" applyAlignment="1">
      <alignment horizontal="right" vertical="top"/>
    </xf>
    <xf numFmtId="0" fontId="19" fillId="0" borderId="0" xfId="0" applyFont="1" applyAlignment="1">
      <alignment vertical="top"/>
    </xf>
    <xf numFmtId="0" fontId="0" fillId="7" borderId="0" xfId="0" applyFill="1" applyAlignment="1">
      <alignment vertical="top"/>
    </xf>
    <xf numFmtId="0" fontId="34" fillId="0" borderId="0" xfId="0" applyFont="1" applyAlignment="1">
      <alignment vertical="top"/>
    </xf>
    <xf numFmtId="0" fontId="0" fillId="7" borderId="0" xfId="0" applyFill="1" applyAlignment="1">
      <alignment horizontal="center" vertical="top"/>
    </xf>
    <xf numFmtId="171" fontId="0" fillId="7" borderId="0" xfId="0" applyNumberFormat="1" applyFill="1" applyAlignment="1">
      <alignment horizontal="center" vertical="top"/>
    </xf>
    <xf numFmtId="9" fontId="0" fillId="7" borderId="0" xfId="0" applyNumberFormat="1" applyFill="1" applyAlignment="1">
      <alignment horizontal="center" vertical="top"/>
    </xf>
    <xf numFmtId="0" fontId="33" fillId="7" borderId="0" xfId="0" applyFont="1" applyFill="1" applyAlignment="1">
      <alignment vertical="top"/>
    </xf>
    <xf numFmtId="0" fontId="15" fillId="0" borderId="0" xfId="0" applyFont="1" applyAlignment="1">
      <alignment horizontal="left" vertical="top"/>
    </xf>
    <xf numFmtId="43" fontId="0" fillId="0" borderId="0" xfId="1" applyFont="1" applyAlignment="1">
      <alignment vertical="top"/>
    </xf>
    <xf numFmtId="0" fontId="0" fillId="4" borderId="0" xfId="0" applyFill="1" applyAlignment="1">
      <alignment vertical="top"/>
    </xf>
    <xf numFmtId="0" fontId="2" fillId="4" borderId="0" xfId="0" applyFont="1" applyFill="1" applyAlignment="1">
      <alignment vertical="top"/>
    </xf>
    <xf numFmtId="0" fontId="0" fillId="4" borderId="0" xfId="0" applyFill="1" applyAlignment="1">
      <alignment horizontal="right" vertical="top"/>
    </xf>
    <xf numFmtId="0" fontId="0" fillId="4" borderId="0" xfId="0" applyFill="1" applyAlignment="1">
      <alignment horizontal="left" vertical="top"/>
    </xf>
    <xf numFmtId="3" fontId="0" fillId="4" borderId="0" xfId="0" applyNumberFormat="1" applyFill="1" applyAlignment="1">
      <alignment vertical="top"/>
    </xf>
    <xf numFmtId="171" fontId="0" fillId="0" borderId="18" xfId="0" applyNumberFormat="1" applyBorder="1" applyAlignment="1">
      <alignment horizontal="center"/>
    </xf>
    <xf numFmtId="1" fontId="14" fillId="2" borderId="0" xfId="0" applyNumberFormat="1" applyFont="1" applyFill="1" applyAlignment="1">
      <alignment vertical="top"/>
    </xf>
    <xf numFmtId="0" fontId="39" fillId="0" borderId="0" xfId="0" applyFont="1" applyAlignment="1">
      <alignment wrapText="1"/>
    </xf>
    <xf numFmtId="0" fontId="2" fillId="0" borderId="1" xfId="0" applyFont="1" applyBorder="1" applyAlignment="1">
      <alignment vertical="top"/>
    </xf>
    <xf numFmtId="0" fontId="0" fillId="0" borderId="5" xfId="0" applyBorder="1" applyAlignment="1">
      <alignment vertical="top"/>
    </xf>
    <xf numFmtId="0" fontId="0" fillId="0" borderId="5" xfId="0" applyBorder="1"/>
    <xf numFmtId="0" fontId="39" fillId="0" borderId="6" xfId="0" applyFont="1" applyBorder="1" applyAlignment="1">
      <alignment wrapText="1"/>
    </xf>
    <xf numFmtId="0" fontId="39" fillId="0" borderId="7" xfId="0" applyFont="1" applyBorder="1" applyAlignment="1">
      <alignment horizontal="center" wrapText="1"/>
    </xf>
    <xf numFmtId="1" fontId="14" fillId="0" borderId="6" xfId="0" applyNumberFormat="1" applyFont="1" applyBorder="1" applyAlignment="1">
      <alignment horizontal="left" vertical="center" indent="3"/>
    </xf>
    <xf numFmtId="0" fontId="15" fillId="0" borderId="6" xfId="0" applyFont="1" applyBorder="1" applyAlignment="1">
      <alignment horizontal="left" vertical="center" indent="5"/>
    </xf>
    <xf numFmtId="0" fontId="14" fillId="0" borderId="6" xfId="0" applyFont="1" applyBorder="1" applyAlignment="1">
      <alignment horizontal="left" vertical="center" indent="5"/>
    </xf>
    <xf numFmtId="0" fontId="14" fillId="0" borderId="6" xfId="0" applyFont="1" applyBorder="1" applyAlignment="1">
      <alignment vertical="center"/>
    </xf>
    <xf numFmtId="0" fontId="14" fillId="0" borderId="6" xfId="0" applyFont="1" applyBorder="1" applyAlignment="1">
      <alignment horizontal="left" vertical="center" indent="3"/>
    </xf>
    <xf numFmtId="1" fontId="14" fillId="0" borderId="9" xfId="0" applyNumberFormat="1" applyFont="1" applyBorder="1" applyAlignment="1">
      <alignment horizontal="left" vertical="center" indent="3"/>
    </xf>
    <xf numFmtId="0" fontId="3" fillId="0" borderId="10" xfId="0" applyFont="1" applyBorder="1" applyAlignment="1">
      <alignment horizontal="left" vertical="top" wrapText="1"/>
    </xf>
    <xf numFmtId="0" fontId="0" fillId="0" borderId="10" xfId="0" applyBorder="1"/>
    <xf numFmtId="0" fontId="0" fillId="7" borderId="6" xfId="0" applyFill="1" applyBorder="1" applyAlignment="1">
      <alignment vertical="top"/>
    </xf>
    <xf numFmtId="0" fontId="0" fillId="2" borderId="7" xfId="0" applyFill="1" applyBorder="1"/>
    <xf numFmtId="0" fontId="2" fillId="0" borderId="1" xfId="0" applyFont="1" applyBorder="1"/>
    <xf numFmtId="172" fontId="42" fillId="0" borderId="0" xfId="0" applyNumberFormat="1" applyFont="1" applyAlignment="1">
      <alignment horizontal="right" vertical="center" wrapText="1"/>
    </xf>
    <xf numFmtId="172" fontId="41" fillId="0" borderId="0" xfId="0" applyNumberFormat="1" applyFont="1" applyAlignment="1">
      <alignment horizontal="center" vertical="center" wrapText="1"/>
    </xf>
    <xf numFmtId="0" fontId="17" fillId="7" borderId="0" xfId="0" applyFont="1" applyFill="1" applyAlignment="1">
      <alignment horizontal="center" vertical="top"/>
    </xf>
    <xf numFmtId="171" fontId="17" fillId="7" borderId="0" xfId="0" applyNumberFormat="1" applyFont="1" applyFill="1" applyAlignment="1">
      <alignment horizontal="center" vertical="top"/>
    </xf>
    <xf numFmtId="0" fontId="6" fillId="0" borderId="0" xfId="0" applyFont="1" applyAlignment="1">
      <alignment horizontal="left" vertical="top"/>
    </xf>
    <xf numFmtId="0" fontId="17" fillId="0" borderId="0" xfId="0" applyFont="1" applyAlignment="1">
      <alignment horizontal="right" vertical="top"/>
    </xf>
    <xf numFmtId="0" fontId="43" fillId="0" borderId="0" xfId="0" applyFont="1" applyAlignment="1">
      <alignment vertical="top"/>
    </xf>
    <xf numFmtId="0" fontId="44"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0" xfId="0" applyFont="1" applyAlignment="1">
      <alignment vertical="top"/>
    </xf>
    <xf numFmtId="172" fontId="46" fillId="0" borderId="0" xfId="0" applyNumberFormat="1" applyFont="1" applyAlignment="1">
      <alignment horizontal="center" vertical="center" wrapText="1"/>
    </xf>
    <xf numFmtId="172" fontId="46" fillId="0" borderId="0" xfId="0" applyNumberFormat="1" applyFont="1" applyAlignment="1">
      <alignment horizontal="right" vertical="center" wrapText="1"/>
    </xf>
    <xf numFmtId="171" fontId="35" fillId="7" borderId="0" xfId="0" applyNumberFormat="1" applyFont="1" applyFill="1" applyAlignment="1">
      <alignment horizontal="center" vertical="top"/>
    </xf>
    <xf numFmtId="0" fontId="16" fillId="0" borderId="0" xfId="0" applyFont="1"/>
    <xf numFmtId="0" fontId="34" fillId="0" borderId="0" xfId="0" applyFont="1"/>
    <xf numFmtId="0" fontId="2" fillId="0" borderId="0" xfId="0" applyFont="1" applyAlignment="1">
      <alignment vertical="center"/>
    </xf>
    <xf numFmtId="0" fontId="40" fillId="0" borderId="0" xfId="0" applyFont="1" applyAlignment="1">
      <alignment horizontal="center" vertical="center" wrapText="1"/>
    </xf>
    <xf numFmtId="0" fontId="36" fillId="0" borderId="0" xfId="0" applyFont="1" applyAlignment="1">
      <alignment vertical="top"/>
    </xf>
    <xf numFmtId="0" fontId="40" fillId="0" borderId="13" xfId="0" applyFont="1" applyBorder="1" applyAlignment="1">
      <alignment horizontal="center" vertical="center" wrapText="1"/>
    </xf>
    <xf numFmtId="3" fontId="35" fillId="7" borderId="0" xfId="0" applyNumberFormat="1" applyFont="1" applyFill="1" applyAlignment="1">
      <alignment horizontal="center" vertical="top"/>
    </xf>
    <xf numFmtId="3" fontId="34" fillId="7" borderId="0" xfId="0" applyNumberFormat="1" applyFont="1" applyFill="1" applyAlignment="1">
      <alignment horizontal="center" vertical="top"/>
    </xf>
    <xf numFmtId="170" fontId="34" fillId="7" borderId="1" xfId="0" applyNumberFormat="1" applyFont="1" applyFill="1" applyBorder="1" applyAlignment="1">
      <alignment horizontal="center" vertical="top"/>
    </xf>
    <xf numFmtId="168" fontId="35" fillId="7" borderId="0" xfId="0" applyNumberFormat="1" applyFont="1" applyFill="1" applyAlignment="1">
      <alignment vertical="top"/>
    </xf>
    <xf numFmtId="168" fontId="23" fillId="0" borderId="0" xfId="0" applyNumberFormat="1" applyFont="1"/>
    <xf numFmtId="168" fontId="35" fillId="0" borderId="0" xfId="0" applyNumberFormat="1" applyFont="1" applyAlignment="1">
      <alignment vertical="top"/>
    </xf>
    <xf numFmtId="0" fontId="47" fillId="0" borderId="0" xfId="4" applyAlignment="1">
      <alignment vertical="top" wrapText="1"/>
    </xf>
    <xf numFmtId="173" fontId="35" fillId="7" borderId="0" xfId="0" applyNumberFormat="1" applyFont="1" applyFill="1" applyAlignment="1">
      <alignment horizontal="center" vertical="top"/>
    </xf>
    <xf numFmtId="0" fontId="0" fillId="2" borderId="0" xfId="0" applyFill="1" applyAlignment="1">
      <alignment horizontal="left" vertical="top"/>
    </xf>
    <xf numFmtId="0" fontId="47" fillId="0" borderId="0" xfId="4"/>
    <xf numFmtId="0" fontId="0" fillId="0" borderId="0" xfId="0" quotePrefix="1"/>
    <xf numFmtId="15" fontId="0" fillId="0" borderId="0" xfId="0" applyNumberFormat="1"/>
    <xf numFmtId="0" fontId="48" fillId="0" borderId="0" xfId="0" applyFont="1"/>
    <xf numFmtId="0" fontId="34" fillId="0" borderId="0" xfId="0" applyFont="1" applyAlignment="1">
      <alignment vertical="top" wrapText="1"/>
    </xf>
    <xf numFmtId="9" fontId="0" fillId="7" borderId="1" xfId="0" applyNumberFormat="1" applyFill="1" applyBorder="1" applyAlignment="1">
      <alignment horizontal="center" vertical="top"/>
    </xf>
    <xf numFmtId="1" fontId="0" fillId="7" borderId="1" xfId="0" applyNumberFormat="1" applyFill="1" applyBorder="1" applyAlignment="1">
      <alignment horizontal="right" vertical="top"/>
    </xf>
    <xf numFmtId="1" fontId="0" fillId="7" borderId="1" xfId="0" applyNumberFormat="1" applyFill="1" applyBorder="1" applyAlignment="1">
      <alignment horizontal="right" vertical="top" wrapText="1"/>
    </xf>
    <xf numFmtId="171" fontId="17" fillId="5" borderId="0" xfId="0" applyNumberFormat="1" applyFont="1" applyFill="1" applyAlignment="1">
      <alignment horizontal="center" vertical="top"/>
    </xf>
    <xf numFmtId="0" fontId="0" fillId="5" borderId="0" xfId="0" applyFill="1" applyAlignment="1">
      <alignment horizontal="center" vertical="top"/>
    </xf>
    <xf numFmtId="173" fontId="0" fillId="5" borderId="0" xfId="0" applyNumberFormat="1" applyFill="1" applyAlignment="1">
      <alignment horizontal="center" vertical="top"/>
    </xf>
    <xf numFmtId="0" fontId="36" fillId="5" borderId="0" xfId="0" applyFont="1" applyFill="1" applyAlignment="1">
      <alignment horizontal="center" vertical="top"/>
    </xf>
    <xf numFmtId="0" fontId="36" fillId="5" borderId="0" xfId="0" applyFont="1" applyFill="1" applyAlignment="1">
      <alignment horizontal="center"/>
    </xf>
    <xf numFmtId="0" fontId="0" fillId="6" borderId="0" xfId="0" applyFill="1"/>
    <xf numFmtId="0" fontId="0" fillId="7" borderId="0" xfId="0" applyFill="1"/>
    <xf numFmtId="0" fontId="6" fillId="0" borderId="0" xfId="0" applyFont="1" applyAlignment="1">
      <alignment horizontal="center"/>
    </xf>
    <xf numFmtId="9" fontId="0" fillId="7" borderId="0" xfId="0" applyNumberFormat="1" applyFill="1" applyAlignment="1">
      <alignment horizontal="center"/>
    </xf>
    <xf numFmtId="174" fontId="0" fillId="0" borderId="1" xfId="0" applyNumberFormat="1" applyBorder="1"/>
    <xf numFmtId="9" fontId="0" fillId="0" borderId="1" xfId="0" applyNumberFormat="1" applyBorder="1"/>
    <xf numFmtId="9" fontId="0" fillId="2" borderId="0" xfId="0" applyNumberFormat="1" applyFill="1" applyAlignment="1">
      <alignment horizontal="center" vertical="top"/>
    </xf>
    <xf numFmtId="171" fontId="2" fillId="5" borderId="0" xfId="0" applyNumberFormat="1" applyFont="1" applyFill="1" applyAlignment="1">
      <alignment horizontal="center" vertical="top"/>
    </xf>
    <xf numFmtId="0" fontId="17" fillId="0" borderId="5" xfId="0" applyFont="1" applyBorder="1" applyAlignment="1">
      <alignment vertical="top"/>
    </xf>
    <xf numFmtId="0" fontId="39" fillId="0" borderId="0" xfId="0" applyFont="1" applyAlignment="1">
      <alignment horizontal="center" wrapText="1"/>
    </xf>
    <xf numFmtId="1" fontId="0" fillId="7" borderId="0" xfId="0" applyNumberFormat="1" applyFill="1" applyAlignment="1">
      <alignment horizontal="center" vertical="top"/>
    </xf>
    <xf numFmtId="0" fontId="35" fillId="7" borderId="0" xfId="0" applyFont="1" applyFill="1" applyAlignment="1">
      <alignment vertical="top" wrapText="1"/>
    </xf>
    <xf numFmtId="0" fontId="0" fillId="6" borderId="1" xfId="0" applyFill="1" applyBorder="1"/>
    <xf numFmtId="169" fontId="0" fillId="6" borderId="1" xfId="1" applyNumberFormat="1" applyFont="1" applyFill="1" applyBorder="1"/>
    <xf numFmtId="169" fontId="0" fillId="6" borderId="1" xfId="0" applyNumberFormat="1" applyFill="1" applyBorder="1"/>
    <xf numFmtId="11" fontId="0" fillId="6" borderId="1" xfId="0" applyNumberFormat="1" applyFill="1" applyBorder="1"/>
    <xf numFmtId="43" fontId="0" fillId="6" borderId="1" xfId="1" applyFont="1" applyFill="1" applyBorder="1"/>
    <xf numFmtId="11" fontId="0" fillId="2" borderId="0" xfId="0" applyNumberFormat="1" applyFill="1" applyAlignment="1">
      <alignment horizontal="right"/>
    </xf>
    <xf numFmtId="43" fontId="0" fillId="4" borderId="0" xfId="1" applyFont="1" applyFill="1" applyAlignment="1">
      <alignment vertical="top"/>
    </xf>
    <xf numFmtId="0" fontId="16" fillId="0" borderId="0" xfId="0" applyFont="1" applyAlignment="1">
      <alignment horizontal="left" vertical="top"/>
    </xf>
    <xf numFmtId="11" fontId="2" fillId="0" borderId="0" xfId="0" applyNumberFormat="1" applyFont="1"/>
    <xf numFmtId="11" fontId="0" fillId="0" borderId="1" xfId="0" applyNumberFormat="1" applyBorder="1"/>
    <xf numFmtId="170" fontId="35" fillId="7" borderId="0" xfId="0" applyNumberFormat="1" applyFont="1" applyFill="1" applyAlignment="1">
      <alignment horizontal="center" vertical="top"/>
    </xf>
    <xf numFmtId="170" fontId="34" fillId="7" borderId="0" xfId="0" applyNumberFormat="1" applyFont="1" applyFill="1" applyAlignment="1">
      <alignment horizontal="center" vertical="top"/>
    </xf>
    <xf numFmtId="170" fontId="17" fillId="2" borderId="0" xfId="0" applyNumberFormat="1" applyFont="1" applyFill="1" applyAlignment="1">
      <alignment horizontal="right" vertical="top"/>
    </xf>
    <xf numFmtId="170" fontId="17" fillId="7" borderId="0" xfId="0" applyNumberFormat="1" applyFont="1" applyFill="1" applyAlignment="1">
      <alignment horizontal="right" vertical="top"/>
    </xf>
    <xf numFmtId="0" fontId="0" fillId="0" borderId="0" xfId="0" applyAlignment="1">
      <alignment horizontal="left" vertical="center" indent="1"/>
    </xf>
    <xf numFmtId="0" fontId="0" fillId="0" borderId="0" xfId="0" applyAlignment="1">
      <alignment vertical="center"/>
    </xf>
    <xf numFmtId="0" fontId="24" fillId="8" borderId="1" xfId="0" applyFont="1" applyFill="1" applyBorder="1" applyAlignment="1">
      <alignment horizontal="center"/>
    </xf>
    <xf numFmtId="171" fontId="0" fillId="8" borderId="1" xfId="0" applyNumberFormat="1" applyFill="1" applyBorder="1" applyAlignment="1">
      <alignment horizontal="center"/>
    </xf>
    <xf numFmtId="0" fontId="2" fillId="0" borderId="0" xfId="0" applyFont="1" applyAlignment="1">
      <alignment wrapText="1"/>
    </xf>
    <xf numFmtId="9" fontId="0" fillId="0" borderId="0" xfId="0" applyNumberFormat="1" applyAlignment="1">
      <alignment vertical="top"/>
    </xf>
    <xf numFmtId="9" fontId="36" fillId="0" borderId="0" xfId="0" applyNumberFormat="1" applyFont="1"/>
    <xf numFmtId="0" fontId="52" fillId="0" borderId="0" xfId="0" applyFont="1" applyAlignment="1">
      <alignment horizontal="right" vertical="top"/>
    </xf>
    <xf numFmtId="0" fontId="11" fillId="0" borderId="0" xfId="0" applyFont="1" applyAlignment="1">
      <alignment horizontal="center" vertical="top" wrapText="1"/>
    </xf>
    <xf numFmtId="168" fontId="2" fillId="0" borderId="0" xfId="0" applyNumberFormat="1" applyFont="1"/>
    <xf numFmtId="0" fontId="35" fillId="0" borderId="0" xfId="0" applyFont="1" applyAlignment="1">
      <alignment vertical="top" wrapText="1"/>
    </xf>
    <xf numFmtId="0" fontId="2" fillId="0" borderId="0" xfId="0" applyFont="1" applyAlignment="1">
      <alignment horizontal="center" wrapText="1"/>
    </xf>
    <xf numFmtId="0" fontId="10" fillId="0" borderId="0" xfId="0" applyFont="1" applyAlignment="1">
      <alignment horizontal="right"/>
    </xf>
    <xf numFmtId="0" fontId="34" fillId="7" borderId="1" xfId="0" applyFont="1" applyFill="1" applyBorder="1" applyAlignment="1">
      <alignment horizontal="center" vertical="top"/>
    </xf>
    <xf numFmtId="165" fontId="2" fillId="9" borderId="4" xfId="0" applyNumberFormat="1" applyFont="1" applyFill="1" applyBorder="1"/>
    <xf numFmtId="165" fontId="2" fillId="9" borderId="8" xfId="0" applyNumberFormat="1" applyFont="1" applyFill="1" applyBorder="1"/>
    <xf numFmtId="165" fontId="2" fillId="9" borderId="12" xfId="0" applyNumberFormat="1" applyFont="1" applyFill="1" applyBorder="1"/>
    <xf numFmtId="0" fontId="47" fillId="0" borderId="0" xfId="4" applyAlignment="1">
      <alignment vertical="top"/>
    </xf>
    <xf numFmtId="174" fontId="0" fillId="0" borderId="0" xfId="0" applyNumberFormat="1"/>
    <xf numFmtId="0" fontId="10" fillId="0" borderId="0" xfId="0" applyFont="1" applyAlignment="1">
      <alignment horizontal="right" wrapText="1"/>
    </xf>
    <xf numFmtId="0" fontId="0" fillId="7" borderId="0" xfId="0" quotePrefix="1" applyFill="1"/>
    <xf numFmtId="15" fontId="0" fillId="7" borderId="0" xfId="0" applyNumberFormat="1" applyFill="1"/>
    <xf numFmtId="0" fontId="29" fillId="0" borderId="6" xfId="0" applyFont="1" applyBorder="1" applyAlignment="1">
      <alignment horizontal="left" vertical="top" wrapText="1"/>
    </xf>
    <xf numFmtId="0" fontId="29" fillId="0" borderId="0" xfId="0" applyFont="1" applyAlignment="1">
      <alignment horizontal="left" vertical="top" wrapText="1"/>
    </xf>
    <xf numFmtId="0" fontId="29" fillId="0" borderId="7" xfId="0" applyFont="1" applyBorder="1" applyAlignment="1">
      <alignment horizontal="left" vertical="top" wrapText="1"/>
    </xf>
    <xf numFmtId="0" fontId="0" fillId="7" borderId="0" xfId="0" applyFill="1" applyAlignment="1">
      <alignment horizontal="left" vertical="top"/>
    </xf>
    <xf numFmtId="0" fontId="17" fillId="2" borderId="0" xfId="0" applyFont="1" applyFill="1" applyAlignment="1">
      <alignment horizontal="center" vertical="top"/>
    </xf>
    <xf numFmtId="0" fontId="0" fillId="2" borderId="0" xfId="0" applyFill="1" applyAlignment="1">
      <alignment horizontal="left" vertical="top"/>
    </xf>
    <xf numFmtId="0" fontId="0" fillId="2" borderId="0" xfId="0" applyFill="1" applyAlignment="1">
      <alignment horizontal="left" vertical="top" wrapText="1"/>
    </xf>
    <xf numFmtId="0" fontId="0" fillId="5" borderId="0" xfId="0" applyFill="1" applyAlignment="1">
      <alignment vertical="top"/>
    </xf>
    <xf numFmtId="0" fontId="17" fillId="7" borderId="0" xfId="0" applyFont="1" applyFill="1" applyAlignment="1">
      <alignment horizontal="center" vertical="top"/>
    </xf>
    <xf numFmtId="0" fontId="2" fillId="0" borderId="0" xfId="0" applyFont="1" applyAlignment="1">
      <alignment vertical="top" wrapText="1"/>
    </xf>
    <xf numFmtId="0" fontId="0" fillId="2" borderId="14" xfId="0" applyFill="1" applyBorder="1" applyAlignment="1">
      <alignment horizontal="left" vertical="top"/>
    </xf>
    <xf numFmtId="0" fontId="0" fillId="2" borderId="15" xfId="0" applyFill="1" applyBorder="1" applyAlignment="1">
      <alignment horizontal="left" vertical="top"/>
    </xf>
    <xf numFmtId="0" fontId="0" fillId="2" borderId="16" xfId="0" applyFill="1" applyBorder="1" applyAlignment="1">
      <alignment horizontal="left" vertical="top"/>
    </xf>
    <xf numFmtId="0" fontId="2" fillId="0" borderId="19" xfId="0" applyFont="1" applyBorder="1" applyAlignment="1">
      <alignment horizontal="center"/>
    </xf>
    <xf numFmtId="0" fontId="2" fillId="0" borderId="17" xfId="0" applyFont="1" applyBorder="1" applyAlignment="1">
      <alignment horizontal="center"/>
    </xf>
  </cellXfs>
  <cellStyles count="5">
    <cellStyle name="Bad" xfId="3" builtinId="27"/>
    <cellStyle name="Comma" xfId="1" builtinId="3"/>
    <cellStyle name="Hyperlink" xfId="4" builtinId="8"/>
    <cellStyle name="Normal" xfId="0" builtinId="0"/>
    <cellStyle name="Percent" xfId="2" builtinId="5"/>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79596849574065"/>
          <c:y val="0.1793061109052646"/>
          <c:w val="0.16508121721257307"/>
          <c:h val="0.60989521347999431"/>
        </c:manualLayout>
      </c:layout>
      <c:areaChart>
        <c:grouping val="stacked"/>
        <c:varyColors val="0"/>
        <c:ser>
          <c:idx val="0"/>
          <c:order val="0"/>
          <c:tx>
            <c:strRef>
              <c:f>SF_1_LD!$I$100</c:f>
              <c:strCache>
                <c:ptCount val="1"/>
                <c:pt idx="0">
                  <c:v>low</c:v>
                </c:pt>
              </c:strCache>
            </c:strRef>
          </c:tx>
          <c:spPr>
            <a:noFill/>
            <a:ln w="25400">
              <a:noFill/>
            </a:ln>
            <a:effectLst/>
          </c:spPr>
          <c:cat>
            <c:numRef>
              <c:f>SF_1_LD!$L$101:$L$102</c:f>
              <c:numCache>
                <c:formatCode>General</c:formatCode>
                <c:ptCount val="2"/>
              </c:numCache>
            </c:numRef>
          </c:cat>
          <c:val>
            <c:numRef>
              <c:f>SF_1_LD!$I$101:$I$102</c:f>
              <c:numCache>
                <c:formatCode>General</c:formatCode>
                <c:ptCount val="2"/>
                <c:pt idx="0" formatCode="#,##0">
                  <c:v>200</c:v>
                </c:pt>
                <c:pt idx="1">
                  <c:v>200</c:v>
                </c:pt>
              </c:numCache>
            </c:numRef>
          </c:val>
          <c:extLst>
            <c:ext xmlns:c16="http://schemas.microsoft.com/office/drawing/2014/chart" uri="{C3380CC4-5D6E-409C-BE32-E72D297353CC}">
              <c16:uniqueId val="{00000000-8140-4772-856D-3FE0BFC6864F}"/>
            </c:ext>
          </c:extLst>
        </c:ser>
        <c:ser>
          <c:idx val="1"/>
          <c:order val="1"/>
          <c:tx>
            <c:strRef>
              <c:f>SF_1_LD!$J$100</c:f>
              <c:strCache>
                <c:ptCount val="1"/>
                <c:pt idx="0">
                  <c:v>average</c:v>
                </c:pt>
              </c:strCache>
            </c:strRef>
          </c:tx>
          <c:spPr>
            <a:gradFill flip="none" rotWithShape="1">
              <a:gsLst>
                <a:gs pos="0">
                  <a:schemeClr val="accent1">
                    <a:lumMod val="0"/>
                    <a:lumOff val="100000"/>
                  </a:schemeClr>
                </a:gs>
                <a:gs pos="49000">
                  <a:schemeClr val="accent1">
                    <a:lumMod val="45000"/>
                    <a:lumOff val="55000"/>
                  </a:schemeClr>
                </a:gs>
                <a:gs pos="83000">
                  <a:schemeClr val="accent1">
                    <a:lumMod val="75000"/>
                    <a:lumOff val="25000"/>
                  </a:schemeClr>
                </a:gs>
                <a:gs pos="100000">
                  <a:schemeClr val="accent1">
                    <a:lumMod val="80000"/>
                    <a:lumOff val="20000"/>
                  </a:schemeClr>
                </a:gs>
              </a:gsLst>
              <a:lin ang="16200000" scaled="1"/>
              <a:tileRect/>
            </a:gradFill>
            <a:ln w="25400">
              <a:noFill/>
            </a:ln>
            <a:effectLst/>
          </c:spPr>
          <c:cat>
            <c:numRef>
              <c:f>SF_1_LD!$L$101:$L$102</c:f>
              <c:numCache>
                <c:formatCode>General</c:formatCode>
                <c:ptCount val="2"/>
              </c:numCache>
            </c:numRef>
          </c:cat>
          <c:val>
            <c:numRef>
              <c:f>SF_1_LD!$J$101:$J$102</c:f>
              <c:numCache>
                <c:formatCode>General</c:formatCode>
                <c:ptCount val="2"/>
                <c:pt idx="0">
                  <c:v>600</c:v>
                </c:pt>
                <c:pt idx="1">
                  <c:v>600</c:v>
                </c:pt>
              </c:numCache>
            </c:numRef>
          </c:val>
          <c:extLst>
            <c:ext xmlns:c16="http://schemas.microsoft.com/office/drawing/2014/chart" uri="{C3380CC4-5D6E-409C-BE32-E72D297353CC}">
              <c16:uniqueId val="{00000001-8140-4772-856D-3FE0BFC6864F}"/>
            </c:ext>
          </c:extLst>
        </c:ser>
        <c:ser>
          <c:idx val="2"/>
          <c:order val="2"/>
          <c:tx>
            <c:strRef>
              <c:f>SF_1_LD!$K$100</c:f>
              <c:strCache>
                <c:ptCount val="1"/>
                <c:pt idx="0">
                  <c:v>high</c:v>
                </c:pt>
              </c:strCache>
            </c:strRef>
          </c:tx>
          <c:spPr>
            <a:gradFill flip="none" rotWithShape="1">
              <a:gsLst>
                <a:gs pos="0">
                  <a:schemeClr val="accent1">
                    <a:lumMod val="0"/>
                    <a:lumOff val="100000"/>
                  </a:schemeClr>
                </a:gs>
                <a:gs pos="49000">
                  <a:schemeClr val="accent1">
                    <a:lumMod val="45000"/>
                    <a:lumOff val="55000"/>
                  </a:schemeClr>
                </a:gs>
                <a:gs pos="83000">
                  <a:schemeClr val="accent1">
                    <a:lumMod val="75000"/>
                    <a:lumOff val="25000"/>
                  </a:schemeClr>
                </a:gs>
                <a:gs pos="100000">
                  <a:schemeClr val="accent1">
                    <a:lumMod val="80000"/>
                    <a:lumOff val="20000"/>
                  </a:schemeClr>
                </a:gs>
              </a:gsLst>
              <a:lin ang="5400000" scaled="1"/>
              <a:tileRect/>
            </a:gradFill>
            <a:ln w="25400">
              <a:noFill/>
            </a:ln>
            <a:effectLst/>
          </c:spPr>
          <c:cat>
            <c:numRef>
              <c:f>SF_1_LD!$L$101:$L$102</c:f>
              <c:numCache>
                <c:formatCode>General</c:formatCode>
                <c:ptCount val="2"/>
              </c:numCache>
            </c:numRef>
          </c:cat>
          <c:val>
            <c:numRef>
              <c:f>SF_1_LD!$K$101:$K$102</c:f>
              <c:numCache>
                <c:formatCode>General</c:formatCode>
                <c:ptCount val="2"/>
                <c:pt idx="0" formatCode="#,##0">
                  <c:v>2000</c:v>
                </c:pt>
                <c:pt idx="1">
                  <c:v>2000</c:v>
                </c:pt>
              </c:numCache>
            </c:numRef>
          </c:val>
          <c:extLst>
            <c:ext xmlns:c16="http://schemas.microsoft.com/office/drawing/2014/chart" uri="{C3380CC4-5D6E-409C-BE32-E72D297353CC}">
              <c16:uniqueId val="{00000002-8140-4772-856D-3FE0BFC6864F}"/>
            </c:ext>
          </c:extLst>
        </c:ser>
        <c:dLbls>
          <c:showLegendKey val="0"/>
          <c:showVal val="0"/>
          <c:showCatName val="0"/>
          <c:showSerName val="0"/>
          <c:showPercent val="0"/>
          <c:showBubbleSize val="0"/>
        </c:dLbls>
        <c:axId val="151342880"/>
        <c:axId val="151341632"/>
      </c:areaChart>
      <c:lineChart>
        <c:grouping val="standard"/>
        <c:varyColors val="0"/>
        <c:ser>
          <c:idx val="3"/>
          <c:order val="3"/>
          <c:tx>
            <c:strRef>
              <c:f>SF_1_LD!$M$100</c:f>
              <c:strCache>
                <c:ptCount val="1"/>
                <c:pt idx="0">
                  <c:v>Target RRF</c:v>
                </c:pt>
              </c:strCache>
            </c:strRef>
          </c:tx>
          <c:spPr>
            <a:ln w="50800" cap="rnd" cmpd="dbl">
              <a:solidFill>
                <a:srgbClr val="C00000"/>
              </a:solidFill>
              <a:prstDash val="solid"/>
              <a:round/>
            </a:ln>
            <a:effectLst/>
          </c:spPr>
          <c:marker>
            <c:symbol val="none"/>
          </c:marker>
          <c:cat>
            <c:numRef>
              <c:f>SF_1_LD!$L$101:$L$102</c:f>
              <c:numCache>
                <c:formatCode>General</c:formatCode>
                <c:ptCount val="2"/>
              </c:numCache>
            </c:numRef>
          </c:cat>
          <c:val>
            <c:numRef>
              <c:f>SF_1_LD!$M$101:$M$102</c:f>
              <c:numCache>
                <c:formatCode>General</c:formatCode>
                <c:ptCount val="2"/>
                <c:pt idx="0">
                  <c:v>300</c:v>
                </c:pt>
                <c:pt idx="1">
                  <c:v>300</c:v>
                </c:pt>
              </c:numCache>
            </c:numRef>
          </c:val>
          <c:smooth val="0"/>
          <c:extLst>
            <c:ext xmlns:c16="http://schemas.microsoft.com/office/drawing/2014/chart" uri="{C3380CC4-5D6E-409C-BE32-E72D297353CC}">
              <c16:uniqueId val="{00000003-8140-4772-856D-3FE0BFC6864F}"/>
            </c:ext>
          </c:extLst>
        </c:ser>
        <c:ser>
          <c:idx val="4"/>
          <c:order val="4"/>
          <c:tx>
            <c:strRef>
              <c:f>SF_1_LD!$N$100</c:f>
              <c:strCache>
                <c:ptCount val="1"/>
                <c:pt idx="0">
                  <c:v>Estimated RRF</c:v>
                </c:pt>
              </c:strCache>
            </c:strRef>
          </c:tx>
          <c:spPr>
            <a:ln w="38100" cap="rnd" cmpd="dbl">
              <a:solidFill>
                <a:schemeClr val="accent5">
                  <a:lumMod val="50000"/>
                </a:schemeClr>
              </a:solidFill>
              <a:prstDash val="dash"/>
              <a:round/>
            </a:ln>
            <a:effectLst/>
          </c:spPr>
          <c:marker>
            <c:symbol val="none"/>
          </c:marker>
          <c:cat>
            <c:numRef>
              <c:f>SF_1_LD!$L$101:$L$102</c:f>
              <c:numCache>
                <c:formatCode>General</c:formatCode>
                <c:ptCount val="2"/>
              </c:numCache>
            </c:numRef>
          </c:cat>
          <c:val>
            <c:numRef>
              <c:f>SF_1_LD!$N$101:$N$102</c:f>
              <c:numCache>
                <c:formatCode>General</c:formatCode>
                <c:ptCount val="2"/>
                <c:pt idx="0">
                  <c:v>600</c:v>
                </c:pt>
                <c:pt idx="1">
                  <c:v>600</c:v>
                </c:pt>
              </c:numCache>
            </c:numRef>
          </c:val>
          <c:smooth val="0"/>
          <c:extLst>
            <c:ext xmlns:c16="http://schemas.microsoft.com/office/drawing/2014/chart" uri="{C3380CC4-5D6E-409C-BE32-E72D297353CC}">
              <c16:uniqueId val="{00000004-8140-4772-856D-3FE0BFC6864F}"/>
            </c:ext>
          </c:extLst>
        </c:ser>
        <c:dLbls>
          <c:showLegendKey val="0"/>
          <c:showVal val="0"/>
          <c:showCatName val="0"/>
          <c:showSerName val="0"/>
          <c:showPercent val="0"/>
          <c:showBubbleSize val="0"/>
        </c:dLbls>
        <c:marker val="1"/>
        <c:smooth val="0"/>
        <c:axId val="151342880"/>
        <c:axId val="151341632"/>
      </c:lineChart>
      <c:catAx>
        <c:axId val="151342880"/>
        <c:scaling>
          <c:orientation val="minMax"/>
        </c:scaling>
        <c:delete val="0"/>
        <c:axPos val="b"/>
        <c:numFmt formatCode="General" sourceLinked="1"/>
        <c:majorTickMark val="out"/>
        <c:minorTickMark val="none"/>
        <c:tickLblPos val="none"/>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41632"/>
        <c:crosses val="autoZero"/>
        <c:auto val="1"/>
        <c:lblAlgn val="ctr"/>
        <c:lblOffset val="100"/>
        <c:noMultiLvlLbl val="0"/>
      </c:catAx>
      <c:valAx>
        <c:axId val="151341632"/>
        <c:scaling>
          <c:logBase val="10"/>
          <c:orientation val="minMax"/>
          <c:max val="10000"/>
          <c:min val="1"/>
        </c:scaling>
        <c:delete val="0"/>
        <c:axPos val="l"/>
        <c:majorGridlines>
          <c:spPr>
            <a:ln w="19050" cap="flat" cmpd="sng" algn="ctr">
              <a:solidFill>
                <a:schemeClr val="bg1">
                  <a:lumMod val="50000"/>
                </a:schemeClr>
              </a:solidFill>
              <a:prstDash val="solid"/>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Risk Reduction Factor</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out"/>
        <c:tickLblPos val="nextTo"/>
        <c:spPr>
          <a:noFill/>
          <a:ln>
            <a:solidFill>
              <a:schemeClr val="accent5">
                <a:lumMod val="75000"/>
              </a:schemeClr>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51342880"/>
        <c:crossesAt val="1"/>
        <c:crossBetween val="midCat"/>
      </c:valAx>
      <c:spPr>
        <a:noFill/>
        <a:ln>
          <a:solidFill>
            <a:schemeClr val="tx1"/>
          </a:solidFill>
        </a:ln>
        <a:effectLst/>
      </c:spPr>
    </c:plotArea>
    <c:legend>
      <c:legendPos val="t"/>
      <c:legendEntry>
        <c:idx val="0"/>
        <c:delete val="1"/>
      </c:legendEntry>
      <c:legendEntry>
        <c:idx val="1"/>
        <c:delete val="1"/>
      </c:legendEntry>
      <c:legendEntry>
        <c:idx val="2"/>
        <c:delete val="1"/>
      </c:legendEntry>
      <c:layout>
        <c:manualLayout>
          <c:xMode val="edge"/>
          <c:yMode val="edge"/>
          <c:x val="0"/>
          <c:y val="3.5542515481735107E-2"/>
          <c:w val="0.58933199498651023"/>
          <c:h val="7.062398845221269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AU" sz="1800" b="1">
                <a:solidFill>
                  <a:schemeClr val="tx1"/>
                </a:solidFill>
              </a:rPr>
              <a:t>Subsystem Contributions to PFD</a:t>
            </a:r>
          </a:p>
        </c:rich>
      </c:tx>
      <c:overlay val="0"/>
      <c:spPr>
        <a:solidFill>
          <a:schemeClr val="bg1"/>
        </a:solid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olidFill>
              <a:ln w="19050">
                <a:solidFill>
                  <a:schemeClr val="lt1"/>
                </a:solidFill>
              </a:ln>
              <a:effectLst/>
            </c:spPr>
            <c:extLst>
              <c:ext xmlns:c16="http://schemas.microsoft.com/office/drawing/2014/chart" uri="{C3380CC4-5D6E-409C-BE32-E72D297353CC}">
                <c16:uniqueId val="{00000001-7E2E-4F12-9810-2CF7DF456E00}"/>
              </c:ext>
            </c:extLst>
          </c:dPt>
          <c:dPt>
            <c:idx val="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2-7E2E-4F12-9810-2CF7DF456E00}"/>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3-7E2E-4F12-9810-2CF7DF456E00}"/>
              </c:ext>
            </c:extLst>
          </c:dPt>
          <c:dLbls>
            <c:delete val="1"/>
          </c:dLbls>
          <c:cat>
            <c:strRef>
              <c:f>SF_1_LD!$G$103:$G$105</c:f>
              <c:strCache>
                <c:ptCount val="3"/>
                <c:pt idx="0">
                  <c:v>Sensor</c:v>
                </c:pt>
                <c:pt idx="1">
                  <c:v>Logic</c:v>
                </c:pt>
                <c:pt idx="2">
                  <c:v>Final element</c:v>
                </c:pt>
              </c:strCache>
            </c:strRef>
          </c:cat>
          <c:val>
            <c:numRef>
              <c:f>SF_1_LD!$H$103:$H$105</c:f>
              <c:numCache>
                <c:formatCode>0%</c:formatCode>
                <c:ptCount val="3"/>
                <c:pt idx="0">
                  <c:v>0.115</c:v>
                </c:pt>
                <c:pt idx="1">
                  <c:v>1.0999999999999999E-2</c:v>
                </c:pt>
                <c:pt idx="2">
                  <c:v>0.7</c:v>
                </c:pt>
              </c:numCache>
            </c:numRef>
          </c:val>
          <c:extLst>
            <c:ext xmlns:c16="http://schemas.microsoft.com/office/drawing/2014/chart" uri="{C3380CC4-5D6E-409C-BE32-E72D297353CC}">
              <c16:uniqueId val="{00000000-7E2E-4F12-9810-2CF7DF456E00}"/>
            </c:ext>
          </c:extLst>
        </c:ser>
        <c:dLbls>
          <c:showLegendKey val="0"/>
          <c:showVal val="0"/>
          <c:showCatName val="0"/>
          <c:showSerName val="0"/>
          <c:showPercent val="1"/>
          <c:showBubbleSize val="0"/>
          <c:showLeaderLines val="1"/>
        </c:dLbls>
        <c:firstSliceAng val="45"/>
      </c:pieChart>
      <c:spPr>
        <a:noFill/>
        <a:ln>
          <a:noFill/>
        </a:ln>
        <a:effectLst/>
      </c:spPr>
    </c:plotArea>
    <c:legend>
      <c:legendPos val="r"/>
      <c:layout>
        <c:manualLayout>
          <c:xMode val="edge"/>
          <c:yMode val="edge"/>
          <c:x val="0.68148118985126849"/>
          <c:y val="0.40153834937299504"/>
          <c:w val="0.31124212598425199"/>
          <c:h val="0.35187007874015747"/>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79596849574065"/>
          <c:y val="0.1793061109052646"/>
          <c:w val="0.16508121721257307"/>
          <c:h val="0.60989521347999431"/>
        </c:manualLayout>
      </c:layout>
      <c:areaChart>
        <c:grouping val="stacked"/>
        <c:varyColors val="0"/>
        <c:ser>
          <c:idx val="0"/>
          <c:order val="0"/>
          <c:tx>
            <c:strRef>
              <c:f>SF_2_HD!$I$99</c:f>
              <c:strCache>
                <c:ptCount val="1"/>
                <c:pt idx="0">
                  <c:v>low</c:v>
                </c:pt>
              </c:strCache>
            </c:strRef>
          </c:tx>
          <c:spPr>
            <a:noFill/>
            <a:ln w="25400">
              <a:noFill/>
            </a:ln>
            <a:effectLst/>
          </c:spPr>
          <c:cat>
            <c:numRef>
              <c:f>SF_2_HD!$L$100:$L$101</c:f>
              <c:numCache>
                <c:formatCode>General</c:formatCode>
                <c:ptCount val="2"/>
              </c:numCache>
            </c:numRef>
          </c:cat>
          <c:val>
            <c:numRef>
              <c:f>SF_2_HD!$I$100:$I$101</c:f>
              <c:numCache>
                <c:formatCode>General</c:formatCode>
                <c:ptCount val="2"/>
                <c:pt idx="0" formatCode="#,##0">
                  <c:v>2.9999999999999999E-7</c:v>
                </c:pt>
                <c:pt idx="1">
                  <c:v>2.9999999999999999E-7</c:v>
                </c:pt>
              </c:numCache>
            </c:numRef>
          </c:val>
          <c:extLst>
            <c:ext xmlns:c16="http://schemas.microsoft.com/office/drawing/2014/chart" uri="{C3380CC4-5D6E-409C-BE32-E72D297353CC}">
              <c16:uniqueId val="{00000000-8157-44F0-8609-4B787EDE6457}"/>
            </c:ext>
          </c:extLst>
        </c:ser>
        <c:ser>
          <c:idx val="1"/>
          <c:order val="1"/>
          <c:tx>
            <c:strRef>
              <c:f>SF_2_HD!$J$99</c:f>
              <c:strCache>
                <c:ptCount val="1"/>
                <c:pt idx="0">
                  <c:v>average</c:v>
                </c:pt>
              </c:strCache>
            </c:strRef>
          </c:tx>
          <c:spPr>
            <a:gradFill flip="none" rotWithShape="1">
              <a:gsLst>
                <a:gs pos="0">
                  <a:schemeClr val="accent1">
                    <a:lumMod val="0"/>
                    <a:lumOff val="100000"/>
                  </a:schemeClr>
                </a:gs>
                <a:gs pos="49000">
                  <a:schemeClr val="accent1">
                    <a:lumMod val="45000"/>
                    <a:lumOff val="55000"/>
                  </a:schemeClr>
                </a:gs>
                <a:gs pos="83000">
                  <a:schemeClr val="accent1">
                    <a:lumMod val="75000"/>
                    <a:lumOff val="25000"/>
                  </a:schemeClr>
                </a:gs>
                <a:gs pos="100000">
                  <a:schemeClr val="accent1">
                    <a:lumMod val="80000"/>
                    <a:lumOff val="20000"/>
                  </a:schemeClr>
                </a:gs>
              </a:gsLst>
              <a:lin ang="16200000" scaled="1"/>
              <a:tileRect/>
            </a:gradFill>
            <a:ln w="25400">
              <a:noFill/>
            </a:ln>
            <a:effectLst/>
          </c:spPr>
          <c:cat>
            <c:numRef>
              <c:f>SF_2_HD!$L$100:$L$101</c:f>
              <c:numCache>
                <c:formatCode>General</c:formatCode>
                <c:ptCount val="2"/>
              </c:numCache>
            </c:numRef>
          </c:cat>
          <c:val>
            <c:numRef>
              <c:f>SF_2_HD!$J$100:$J$101</c:f>
              <c:numCache>
                <c:formatCode>General</c:formatCode>
                <c:ptCount val="2"/>
                <c:pt idx="0">
                  <c:v>8.9999999999999996E-7</c:v>
                </c:pt>
                <c:pt idx="1">
                  <c:v>8.9999999999999996E-7</c:v>
                </c:pt>
              </c:numCache>
            </c:numRef>
          </c:val>
          <c:extLst>
            <c:ext xmlns:c16="http://schemas.microsoft.com/office/drawing/2014/chart" uri="{C3380CC4-5D6E-409C-BE32-E72D297353CC}">
              <c16:uniqueId val="{00000001-8157-44F0-8609-4B787EDE6457}"/>
            </c:ext>
          </c:extLst>
        </c:ser>
        <c:ser>
          <c:idx val="2"/>
          <c:order val="2"/>
          <c:tx>
            <c:strRef>
              <c:f>SF_2_HD!$K$99</c:f>
              <c:strCache>
                <c:ptCount val="1"/>
                <c:pt idx="0">
                  <c:v>high</c:v>
                </c:pt>
              </c:strCache>
            </c:strRef>
          </c:tx>
          <c:spPr>
            <a:gradFill flip="none" rotWithShape="1">
              <a:gsLst>
                <a:gs pos="0">
                  <a:schemeClr val="accent1">
                    <a:lumMod val="0"/>
                    <a:lumOff val="100000"/>
                  </a:schemeClr>
                </a:gs>
                <a:gs pos="49000">
                  <a:schemeClr val="accent1">
                    <a:lumMod val="45000"/>
                    <a:lumOff val="55000"/>
                  </a:schemeClr>
                </a:gs>
                <a:gs pos="83000">
                  <a:schemeClr val="accent1">
                    <a:lumMod val="75000"/>
                    <a:lumOff val="25000"/>
                  </a:schemeClr>
                </a:gs>
                <a:gs pos="100000">
                  <a:schemeClr val="accent1">
                    <a:lumMod val="80000"/>
                    <a:lumOff val="20000"/>
                  </a:schemeClr>
                </a:gs>
              </a:gsLst>
              <a:lin ang="5400000" scaled="1"/>
              <a:tileRect/>
            </a:gradFill>
            <a:ln w="25400">
              <a:noFill/>
            </a:ln>
            <a:effectLst/>
          </c:spPr>
          <c:cat>
            <c:numRef>
              <c:f>SF_2_HD!$L$100:$L$101</c:f>
              <c:numCache>
                <c:formatCode>General</c:formatCode>
                <c:ptCount val="2"/>
              </c:numCache>
            </c:numRef>
          </c:cat>
          <c:val>
            <c:numRef>
              <c:f>SF_2_HD!$K$100:$K$101</c:f>
              <c:numCache>
                <c:formatCode>General</c:formatCode>
                <c:ptCount val="2"/>
                <c:pt idx="0" formatCode="#,##0">
                  <c:v>3.0000000000000001E-6</c:v>
                </c:pt>
                <c:pt idx="1">
                  <c:v>3.0000000000000001E-6</c:v>
                </c:pt>
              </c:numCache>
            </c:numRef>
          </c:val>
          <c:extLst>
            <c:ext xmlns:c16="http://schemas.microsoft.com/office/drawing/2014/chart" uri="{C3380CC4-5D6E-409C-BE32-E72D297353CC}">
              <c16:uniqueId val="{00000002-8157-44F0-8609-4B787EDE6457}"/>
            </c:ext>
          </c:extLst>
        </c:ser>
        <c:dLbls>
          <c:showLegendKey val="0"/>
          <c:showVal val="0"/>
          <c:showCatName val="0"/>
          <c:showSerName val="0"/>
          <c:showPercent val="0"/>
          <c:showBubbleSize val="0"/>
        </c:dLbls>
        <c:axId val="151342880"/>
        <c:axId val="151341632"/>
      </c:areaChart>
      <c:lineChart>
        <c:grouping val="standard"/>
        <c:varyColors val="0"/>
        <c:ser>
          <c:idx val="3"/>
          <c:order val="3"/>
          <c:tx>
            <c:strRef>
              <c:f>SF_2_HD!$M$99</c:f>
              <c:strCache>
                <c:ptCount val="1"/>
                <c:pt idx="0">
                  <c:v>Target PFH</c:v>
                </c:pt>
              </c:strCache>
            </c:strRef>
          </c:tx>
          <c:spPr>
            <a:ln w="50800" cap="rnd" cmpd="dbl">
              <a:solidFill>
                <a:srgbClr val="C00000"/>
              </a:solidFill>
              <a:prstDash val="solid"/>
              <a:round/>
            </a:ln>
            <a:effectLst/>
          </c:spPr>
          <c:marker>
            <c:symbol val="none"/>
          </c:marker>
          <c:cat>
            <c:numRef>
              <c:f>SF_2_HD!$L$100:$L$101</c:f>
              <c:numCache>
                <c:formatCode>General</c:formatCode>
                <c:ptCount val="2"/>
              </c:numCache>
            </c:numRef>
          </c:cat>
          <c:val>
            <c:numRef>
              <c:f>SF_2_HD!$M$100:$M$101</c:f>
              <c:numCache>
                <c:formatCode>General</c:formatCode>
                <c:ptCount val="2"/>
                <c:pt idx="0">
                  <c:v>9.9999999999999995E-7</c:v>
                </c:pt>
                <c:pt idx="1">
                  <c:v>9.9999999999999995E-7</c:v>
                </c:pt>
              </c:numCache>
            </c:numRef>
          </c:val>
          <c:smooth val="0"/>
          <c:extLst>
            <c:ext xmlns:c16="http://schemas.microsoft.com/office/drawing/2014/chart" uri="{C3380CC4-5D6E-409C-BE32-E72D297353CC}">
              <c16:uniqueId val="{00000003-8157-44F0-8609-4B787EDE6457}"/>
            </c:ext>
          </c:extLst>
        </c:ser>
        <c:ser>
          <c:idx val="4"/>
          <c:order val="4"/>
          <c:tx>
            <c:strRef>
              <c:f>SF_2_HD!$N$99</c:f>
              <c:strCache>
                <c:ptCount val="1"/>
                <c:pt idx="0">
                  <c:v>Estimated PFH</c:v>
                </c:pt>
              </c:strCache>
            </c:strRef>
          </c:tx>
          <c:spPr>
            <a:ln w="38100" cap="rnd" cmpd="dbl">
              <a:solidFill>
                <a:schemeClr val="accent5">
                  <a:lumMod val="50000"/>
                </a:schemeClr>
              </a:solidFill>
              <a:prstDash val="dash"/>
              <a:round/>
            </a:ln>
            <a:effectLst/>
          </c:spPr>
          <c:marker>
            <c:symbol val="none"/>
          </c:marker>
          <c:cat>
            <c:numRef>
              <c:f>SF_2_HD!$L$100:$L$101</c:f>
              <c:numCache>
                <c:formatCode>General</c:formatCode>
                <c:ptCount val="2"/>
              </c:numCache>
            </c:numRef>
          </c:cat>
          <c:val>
            <c:numRef>
              <c:f>SF_2_HD!$N$100:$N$101</c:f>
              <c:numCache>
                <c:formatCode>General</c:formatCode>
                <c:ptCount val="2"/>
                <c:pt idx="0">
                  <c:v>8.9999999999999996E-7</c:v>
                </c:pt>
                <c:pt idx="1">
                  <c:v>8.9999999999999996E-7</c:v>
                </c:pt>
              </c:numCache>
            </c:numRef>
          </c:val>
          <c:smooth val="0"/>
          <c:extLst>
            <c:ext xmlns:c16="http://schemas.microsoft.com/office/drawing/2014/chart" uri="{C3380CC4-5D6E-409C-BE32-E72D297353CC}">
              <c16:uniqueId val="{00000004-8157-44F0-8609-4B787EDE6457}"/>
            </c:ext>
          </c:extLst>
        </c:ser>
        <c:dLbls>
          <c:showLegendKey val="0"/>
          <c:showVal val="0"/>
          <c:showCatName val="0"/>
          <c:showSerName val="0"/>
          <c:showPercent val="0"/>
          <c:showBubbleSize val="0"/>
        </c:dLbls>
        <c:marker val="1"/>
        <c:smooth val="0"/>
        <c:axId val="151342880"/>
        <c:axId val="151341632"/>
      </c:lineChart>
      <c:catAx>
        <c:axId val="151342880"/>
        <c:scaling>
          <c:orientation val="minMax"/>
        </c:scaling>
        <c:delete val="0"/>
        <c:axPos val="b"/>
        <c:numFmt formatCode="General" sourceLinked="1"/>
        <c:majorTickMark val="out"/>
        <c:minorTickMark val="none"/>
        <c:tickLblPos val="none"/>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41632"/>
        <c:crosses val="autoZero"/>
        <c:auto val="1"/>
        <c:lblAlgn val="ctr"/>
        <c:lblOffset val="100"/>
        <c:noMultiLvlLbl val="0"/>
      </c:catAx>
      <c:valAx>
        <c:axId val="151341632"/>
        <c:scaling>
          <c:logBase val="10"/>
          <c:orientation val="minMax"/>
          <c:max val="1.0000000000000004E-5"/>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Dangerous</a:t>
                </a:r>
                <a:r>
                  <a:rPr lang="en-US" sz="1800" baseline="0"/>
                  <a:t> Failures Per Hour</a:t>
                </a:r>
                <a:endParaRPr lang="en-US" sz="1800"/>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E+00" sourceLinked="0"/>
        <c:majorTickMark val="none"/>
        <c:minorTickMark val="out"/>
        <c:tickLblPos val="nextTo"/>
        <c:spPr>
          <a:noFill/>
          <a:ln>
            <a:solidFill>
              <a:schemeClr val="accent5">
                <a:lumMod val="75000"/>
              </a:schemeClr>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51342880"/>
        <c:crossesAt val="1"/>
        <c:crossBetween val="midCat"/>
      </c:valAx>
      <c:spPr>
        <a:noFill/>
        <a:ln>
          <a:solidFill>
            <a:schemeClr val="tx1"/>
          </a:solidFill>
        </a:ln>
        <a:effectLst/>
      </c:spPr>
    </c:plotArea>
    <c:legend>
      <c:legendPos val="t"/>
      <c:legendEntry>
        <c:idx val="0"/>
        <c:delete val="1"/>
      </c:legendEntry>
      <c:legendEntry>
        <c:idx val="1"/>
        <c:delete val="1"/>
      </c:legendEntry>
      <c:legendEntry>
        <c:idx val="2"/>
        <c:delete val="1"/>
      </c:legendEntry>
      <c:layout>
        <c:manualLayout>
          <c:xMode val="edge"/>
          <c:yMode val="edge"/>
          <c:x val="0"/>
          <c:y val="3.5542515481735107E-2"/>
          <c:w val="0.58933199498651023"/>
          <c:h val="7.062398845221269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AU" sz="1800" b="1">
                <a:solidFill>
                  <a:schemeClr val="tx1"/>
                </a:solidFill>
              </a:rPr>
              <a:t>Subsystem Contributions to PFH</a:t>
            </a:r>
          </a:p>
        </c:rich>
      </c:tx>
      <c:overlay val="0"/>
      <c:spPr>
        <a:solidFill>
          <a:schemeClr val="bg1"/>
        </a:solid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olidFill>
              <a:ln w="19050">
                <a:solidFill>
                  <a:schemeClr val="lt1"/>
                </a:solidFill>
              </a:ln>
              <a:effectLst/>
            </c:spPr>
            <c:extLst>
              <c:ext xmlns:c16="http://schemas.microsoft.com/office/drawing/2014/chart" uri="{C3380CC4-5D6E-409C-BE32-E72D297353CC}">
                <c16:uniqueId val="{00000001-EF50-42CB-A00A-27A7A1097229}"/>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EF50-42CB-A00A-27A7A109722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EF50-42CB-A00A-27A7A1097229}"/>
              </c:ext>
            </c:extLst>
          </c:dPt>
          <c:dLbls>
            <c:dLbl>
              <c:idx val="0"/>
              <c:layout>
                <c:manualLayout>
                  <c:x val="-1.3263998250218723E-2"/>
                  <c:y val="-3.93463837853601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F50-42CB-A00A-27A7A1097229}"/>
                </c:ext>
              </c:extLst>
            </c:dLbl>
            <c:dLbl>
              <c:idx val="1"/>
              <c:layout>
                <c:manualLayout>
                  <c:x val="2.6688757655293088E-2"/>
                  <c:y val="-2.6543817439486816E-2"/>
                </c:manualLayout>
              </c:layout>
              <c:showLegendKey val="0"/>
              <c:showVal val="0"/>
              <c:showCatName val="0"/>
              <c:showSerName val="0"/>
              <c:showPercent val="1"/>
              <c:showBubbleSize val="0"/>
              <c:extLst>
                <c:ext xmlns:c15="http://schemas.microsoft.com/office/drawing/2012/chart" uri="{CE6537A1-D6FC-4f65-9D91-7224C49458BB}">
                  <c15:layout>
                    <c:manualLayout>
                      <c:w val="0.10685148731408574"/>
                      <c:h val="0.13127697579469233"/>
                    </c:manualLayout>
                  </c15:layout>
                </c:ext>
                <c:ext xmlns:c16="http://schemas.microsoft.com/office/drawing/2014/chart" uri="{C3380CC4-5D6E-409C-BE32-E72D297353CC}">
                  <c16:uniqueId val="{00000003-EF50-42CB-A00A-27A7A1097229}"/>
                </c:ext>
              </c:extLst>
            </c:dLbl>
            <c:dLbl>
              <c:idx val="2"/>
              <c:layout>
                <c:manualLayout>
                  <c:x val="3.7206036745406824E-2"/>
                  <c:y val="2.49569845435987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50-42CB-A00A-27A7A109722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EllipseCallout">
                    <a:avLst/>
                  </a:prstGeom>
                  <a:noFill/>
                  <a:ln>
                    <a:noFill/>
                  </a:ln>
                </c15:spPr>
              </c:ext>
            </c:extLst>
          </c:dLbls>
          <c:cat>
            <c:strRef>
              <c:f>SF_2_HD!$G$102:$G$104</c:f>
              <c:strCache>
                <c:ptCount val="3"/>
                <c:pt idx="0">
                  <c:v>Sensor</c:v>
                </c:pt>
                <c:pt idx="1">
                  <c:v>Logic</c:v>
                </c:pt>
                <c:pt idx="2">
                  <c:v>Final element</c:v>
                </c:pt>
              </c:strCache>
            </c:strRef>
          </c:cat>
          <c:val>
            <c:numRef>
              <c:f>SF_2_HD!$H$102:$H$104</c:f>
              <c:numCache>
                <c:formatCode>0%</c:formatCode>
                <c:ptCount val="3"/>
                <c:pt idx="0">
                  <c:v>0.4333333333333334</c:v>
                </c:pt>
                <c:pt idx="1">
                  <c:v>1.4444444444444446E-3</c:v>
                </c:pt>
                <c:pt idx="2">
                  <c:v>0.51111111111111107</c:v>
                </c:pt>
              </c:numCache>
            </c:numRef>
          </c:val>
          <c:extLst>
            <c:ext xmlns:c16="http://schemas.microsoft.com/office/drawing/2014/chart" uri="{C3380CC4-5D6E-409C-BE32-E72D297353CC}">
              <c16:uniqueId val="{00000006-EF50-42CB-A00A-27A7A1097229}"/>
            </c:ext>
          </c:extLst>
        </c:ser>
        <c:dLbls>
          <c:showLegendKey val="0"/>
          <c:showVal val="0"/>
          <c:showCatName val="0"/>
          <c:showSerName val="0"/>
          <c:showPercent val="1"/>
          <c:showBubbleSize val="0"/>
          <c:showLeaderLines val="1"/>
        </c:dLbls>
        <c:firstSliceAng val="45"/>
      </c:pieChart>
      <c:spPr>
        <a:noFill/>
        <a:ln>
          <a:noFill/>
        </a:ln>
        <a:effectLst/>
      </c:spPr>
    </c:plotArea>
    <c:legend>
      <c:legendPos val="r"/>
      <c:layout>
        <c:manualLayout>
          <c:xMode val="edge"/>
          <c:yMode val="edge"/>
          <c:x val="0.68148118985126849"/>
          <c:y val="0.40153834937299504"/>
          <c:w val="0.31124212598425199"/>
          <c:h val="0.35187007874015747"/>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79596849574065"/>
          <c:y val="0.1793061109052646"/>
          <c:w val="0.16508121721257307"/>
          <c:h val="0.60989521347999431"/>
        </c:manualLayout>
      </c:layout>
      <c:areaChart>
        <c:grouping val="stacked"/>
        <c:varyColors val="0"/>
        <c:ser>
          <c:idx val="0"/>
          <c:order val="0"/>
          <c:tx>
            <c:strRef>
              <c:f>SF_3_CM!$I$99</c:f>
              <c:strCache>
                <c:ptCount val="1"/>
                <c:pt idx="0">
                  <c:v>low</c:v>
                </c:pt>
              </c:strCache>
            </c:strRef>
          </c:tx>
          <c:spPr>
            <a:noFill/>
            <a:ln w="25400">
              <a:noFill/>
            </a:ln>
            <a:effectLst/>
          </c:spPr>
          <c:cat>
            <c:numRef>
              <c:f>SF_3_CM!$L$100:$L$101</c:f>
              <c:numCache>
                <c:formatCode>General</c:formatCode>
                <c:ptCount val="2"/>
              </c:numCache>
            </c:numRef>
          </c:cat>
          <c:val>
            <c:numRef>
              <c:f>SF_3_CM!$I$100:$I$101</c:f>
              <c:numCache>
                <c:formatCode>General</c:formatCode>
                <c:ptCount val="2"/>
                <c:pt idx="0" formatCode="#,##0">
                  <c:v>1.9999999999999999E-7</c:v>
                </c:pt>
                <c:pt idx="1">
                  <c:v>1.9999999999999999E-7</c:v>
                </c:pt>
              </c:numCache>
            </c:numRef>
          </c:val>
          <c:extLst>
            <c:ext xmlns:c16="http://schemas.microsoft.com/office/drawing/2014/chart" uri="{C3380CC4-5D6E-409C-BE32-E72D297353CC}">
              <c16:uniqueId val="{00000000-F246-469D-ADF1-BE43D1D746AE}"/>
            </c:ext>
          </c:extLst>
        </c:ser>
        <c:ser>
          <c:idx val="1"/>
          <c:order val="1"/>
          <c:tx>
            <c:strRef>
              <c:f>SF_3_CM!$J$99</c:f>
              <c:strCache>
                <c:ptCount val="1"/>
                <c:pt idx="0">
                  <c:v>average</c:v>
                </c:pt>
              </c:strCache>
            </c:strRef>
          </c:tx>
          <c:spPr>
            <a:gradFill flip="none" rotWithShape="1">
              <a:gsLst>
                <a:gs pos="0">
                  <a:schemeClr val="accent1">
                    <a:lumMod val="0"/>
                    <a:lumOff val="100000"/>
                  </a:schemeClr>
                </a:gs>
                <a:gs pos="49000">
                  <a:schemeClr val="accent1">
                    <a:lumMod val="45000"/>
                    <a:lumOff val="55000"/>
                  </a:schemeClr>
                </a:gs>
                <a:gs pos="83000">
                  <a:schemeClr val="accent1">
                    <a:lumMod val="75000"/>
                    <a:lumOff val="25000"/>
                  </a:schemeClr>
                </a:gs>
                <a:gs pos="100000">
                  <a:schemeClr val="accent1">
                    <a:lumMod val="80000"/>
                    <a:lumOff val="20000"/>
                  </a:schemeClr>
                </a:gs>
              </a:gsLst>
              <a:lin ang="16200000" scaled="1"/>
              <a:tileRect/>
            </a:gradFill>
            <a:ln w="25400">
              <a:noFill/>
            </a:ln>
            <a:effectLst/>
          </c:spPr>
          <c:cat>
            <c:numRef>
              <c:f>SF_3_CM!$L$100:$L$101</c:f>
              <c:numCache>
                <c:formatCode>General</c:formatCode>
                <c:ptCount val="2"/>
              </c:numCache>
            </c:numRef>
          </c:cat>
          <c:val>
            <c:numRef>
              <c:f>SF_3_CM!$J$100:$J$101</c:f>
              <c:numCache>
                <c:formatCode>General</c:formatCode>
                <c:ptCount val="2"/>
                <c:pt idx="0">
                  <c:v>5.9999999999999997E-7</c:v>
                </c:pt>
                <c:pt idx="1">
                  <c:v>5.9999999999999997E-7</c:v>
                </c:pt>
              </c:numCache>
            </c:numRef>
          </c:val>
          <c:extLst>
            <c:ext xmlns:c16="http://schemas.microsoft.com/office/drawing/2014/chart" uri="{C3380CC4-5D6E-409C-BE32-E72D297353CC}">
              <c16:uniqueId val="{00000001-F246-469D-ADF1-BE43D1D746AE}"/>
            </c:ext>
          </c:extLst>
        </c:ser>
        <c:ser>
          <c:idx val="2"/>
          <c:order val="2"/>
          <c:tx>
            <c:strRef>
              <c:f>SF_3_CM!$K$99</c:f>
              <c:strCache>
                <c:ptCount val="1"/>
                <c:pt idx="0">
                  <c:v>high</c:v>
                </c:pt>
              </c:strCache>
            </c:strRef>
          </c:tx>
          <c:spPr>
            <a:gradFill flip="none" rotWithShape="1">
              <a:gsLst>
                <a:gs pos="0">
                  <a:schemeClr val="accent1">
                    <a:lumMod val="0"/>
                    <a:lumOff val="100000"/>
                  </a:schemeClr>
                </a:gs>
                <a:gs pos="49000">
                  <a:schemeClr val="accent1">
                    <a:lumMod val="45000"/>
                    <a:lumOff val="55000"/>
                  </a:schemeClr>
                </a:gs>
                <a:gs pos="83000">
                  <a:schemeClr val="accent1">
                    <a:lumMod val="75000"/>
                    <a:lumOff val="25000"/>
                  </a:schemeClr>
                </a:gs>
                <a:gs pos="100000">
                  <a:schemeClr val="accent1">
                    <a:lumMod val="80000"/>
                    <a:lumOff val="20000"/>
                  </a:schemeClr>
                </a:gs>
              </a:gsLst>
              <a:lin ang="5400000" scaled="1"/>
              <a:tileRect/>
            </a:gradFill>
            <a:ln w="25400">
              <a:noFill/>
            </a:ln>
            <a:effectLst/>
          </c:spPr>
          <c:cat>
            <c:numRef>
              <c:f>SF_3_CM!$L$100:$L$101</c:f>
              <c:numCache>
                <c:formatCode>General</c:formatCode>
                <c:ptCount val="2"/>
              </c:numCache>
            </c:numRef>
          </c:cat>
          <c:val>
            <c:numRef>
              <c:f>SF_3_CM!$K$100:$K$101</c:f>
              <c:numCache>
                <c:formatCode>General</c:formatCode>
                <c:ptCount val="2"/>
                <c:pt idx="0" formatCode="#,##0">
                  <c:v>1.9999999999999999E-6</c:v>
                </c:pt>
                <c:pt idx="1">
                  <c:v>1.9999999999999999E-6</c:v>
                </c:pt>
              </c:numCache>
            </c:numRef>
          </c:val>
          <c:extLst>
            <c:ext xmlns:c16="http://schemas.microsoft.com/office/drawing/2014/chart" uri="{C3380CC4-5D6E-409C-BE32-E72D297353CC}">
              <c16:uniqueId val="{00000002-F246-469D-ADF1-BE43D1D746AE}"/>
            </c:ext>
          </c:extLst>
        </c:ser>
        <c:dLbls>
          <c:showLegendKey val="0"/>
          <c:showVal val="0"/>
          <c:showCatName val="0"/>
          <c:showSerName val="0"/>
          <c:showPercent val="0"/>
          <c:showBubbleSize val="0"/>
        </c:dLbls>
        <c:axId val="151342880"/>
        <c:axId val="151341632"/>
      </c:areaChart>
      <c:lineChart>
        <c:grouping val="standard"/>
        <c:varyColors val="0"/>
        <c:ser>
          <c:idx val="3"/>
          <c:order val="3"/>
          <c:tx>
            <c:strRef>
              <c:f>SF_3_CM!$M$99</c:f>
              <c:strCache>
                <c:ptCount val="1"/>
                <c:pt idx="0">
                  <c:v>Target PFH</c:v>
                </c:pt>
              </c:strCache>
            </c:strRef>
          </c:tx>
          <c:spPr>
            <a:ln w="50800" cap="rnd" cmpd="dbl">
              <a:solidFill>
                <a:srgbClr val="C00000"/>
              </a:solidFill>
              <a:prstDash val="solid"/>
              <a:round/>
            </a:ln>
            <a:effectLst/>
          </c:spPr>
          <c:marker>
            <c:symbol val="none"/>
          </c:marker>
          <c:cat>
            <c:numRef>
              <c:f>SF_3_CM!$L$100:$L$101</c:f>
              <c:numCache>
                <c:formatCode>General</c:formatCode>
                <c:ptCount val="2"/>
              </c:numCache>
            </c:numRef>
          </c:cat>
          <c:val>
            <c:numRef>
              <c:f>SF_3_CM!$M$100:$M$101</c:f>
              <c:numCache>
                <c:formatCode>General</c:formatCode>
                <c:ptCount val="2"/>
                <c:pt idx="0">
                  <c:v>9.9999999999999995E-7</c:v>
                </c:pt>
                <c:pt idx="1">
                  <c:v>9.9999999999999995E-7</c:v>
                </c:pt>
              </c:numCache>
            </c:numRef>
          </c:val>
          <c:smooth val="0"/>
          <c:extLst>
            <c:ext xmlns:c16="http://schemas.microsoft.com/office/drawing/2014/chart" uri="{C3380CC4-5D6E-409C-BE32-E72D297353CC}">
              <c16:uniqueId val="{00000003-F246-469D-ADF1-BE43D1D746AE}"/>
            </c:ext>
          </c:extLst>
        </c:ser>
        <c:ser>
          <c:idx val="4"/>
          <c:order val="4"/>
          <c:tx>
            <c:strRef>
              <c:f>SF_3_CM!$N$99</c:f>
              <c:strCache>
                <c:ptCount val="1"/>
                <c:pt idx="0">
                  <c:v>Estimated PFH</c:v>
                </c:pt>
              </c:strCache>
            </c:strRef>
          </c:tx>
          <c:spPr>
            <a:ln w="38100" cap="rnd" cmpd="dbl">
              <a:solidFill>
                <a:schemeClr val="accent5">
                  <a:lumMod val="50000"/>
                </a:schemeClr>
              </a:solidFill>
              <a:prstDash val="dash"/>
              <a:round/>
            </a:ln>
            <a:effectLst/>
          </c:spPr>
          <c:marker>
            <c:symbol val="none"/>
          </c:marker>
          <c:cat>
            <c:numRef>
              <c:f>SF_3_CM!$L$100:$L$101</c:f>
              <c:numCache>
                <c:formatCode>General</c:formatCode>
                <c:ptCount val="2"/>
              </c:numCache>
            </c:numRef>
          </c:cat>
          <c:val>
            <c:numRef>
              <c:f>SF_3_CM!$N$100:$N$101</c:f>
              <c:numCache>
                <c:formatCode>General</c:formatCode>
                <c:ptCount val="2"/>
                <c:pt idx="0">
                  <c:v>5.9999999999999997E-7</c:v>
                </c:pt>
                <c:pt idx="1">
                  <c:v>5.9999999999999997E-7</c:v>
                </c:pt>
              </c:numCache>
            </c:numRef>
          </c:val>
          <c:smooth val="0"/>
          <c:extLst>
            <c:ext xmlns:c16="http://schemas.microsoft.com/office/drawing/2014/chart" uri="{C3380CC4-5D6E-409C-BE32-E72D297353CC}">
              <c16:uniqueId val="{00000004-F246-469D-ADF1-BE43D1D746AE}"/>
            </c:ext>
          </c:extLst>
        </c:ser>
        <c:dLbls>
          <c:showLegendKey val="0"/>
          <c:showVal val="0"/>
          <c:showCatName val="0"/>
          <c:showSerName val="0"/>
          <c:showPercent val="0"/>
          <c:showBubbleSize val="0"/>
        </c:dLbls>
        <c:marker val="1"/>
        <c:smooth val="0"/>
        <c:axId val="151342880"/>
        <c:axId val="151341632"/>
      </c:lineChart>
      <c:catAx>
        <c:axId val="151342880"/>
        <c:scaling>
          <c:orientation val="minMax"/>
        </c:scaling>
        <c:delete val="0"/>
        <c:axPos val="b"/>
        <c:numFmt formatCode="General" sourceLinked="1"/>
        <c:majorTickMark val="out"/>
        <c:minorTickMark val="none"/>
        <c:tickLblPos val="none"/>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41632"/>
        <c:crosses val="autoZero"/>
        <c:auto val="1"/>
        <c:lblAlgn val="ctr"/>
        <c:lblOffset val="100"/>
        <c:noMultiLvlLbl val="0"/>
      </c:catAx>
      <c:valAx>
        <c:axId val="151341632"/>
        <c:scaling>
          <c:logBase val="10"/>
          <c:orientation val="minMax"/>
          <c:max val="1.0000000000000004E-5"/>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Dangerous</a:t>
                </a:r>
                <a:r>
                  <a:rPr lang="en-US" sz="1800" baseline="0"/>
                  <a:t> Failures Per Hour</a:t>
                </a:r>
                <a:endParaRPr lang="en-US" sz="1800"/>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E+00" sourceLinked="0"/>
        <c:majorTickMark val="none"/>
        <c:minorTickMark val="out"/>
        <c:tickLblPos val="nextTo"/>
        <c:spPr>
          <a:noFill/>
          <a:ln>
            <a:solidFill>
              <a:schemeClr val="accent5">
                <a:lumMod val="75000"/>
              </a:schemeClr>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51342880"/>
        <c:crossesAt val="1"/>
        <c:crossBetween val="midCat"/>
      </c:valAx>
      <c:spPr>
        <a:noFill/>
        <a:ln>
          <a:solidFill>
            <a:schemeClr val="tx1"/>
          </a:solidFill>
        </a:ln>
        <a:effectLst/>
      </c:spPr>
    </c:plotArea>
    <c:legend>
      <c:legendPos val="t"/>
      <c:legendEntry>
        <c:idx val="0"/>
        <c:delete val="1"/>
      </c:legendEntry>
      <c:legendEntry>
        <c:idx val="1"/>
        <c:delete val="1"/>
      </c:legendEntry>
      <c:legendEntry>
        <c:idx val="2"/>
        <c:delete val="1"/>
      </c:legendEntry>
      <c:layout>
        <c:manualLayout>
          <c:xMode val="edge"/>
          <c:yMode val="edge"/>
          <c:x val="0"/>
          <c:y val="3.5542515481735107E-2"/>
          <c:w val="0.58933199498651023"/>
          <c:h val="7.062398845221269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AU" sz="1800" b="1">
                <a:solidFill>
                  <a:schemeClr val="tx1"/>
                </a:solidFill>
              </a:rPr>
              <a:t>Subsystem Contributions to PFH</a:t>
            </a:r>
          </a:p>
        </c:rich>
      </c:tx>
      <c:overlay val="0"/>
      <c:spPr>
        <a:solidFill>
          <a:schemeClr val="bg1"/>
        </a:solid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olidFill>
              <a:ln w="19050">
                <a:solidFill>
                  <a:schemeClr val="lt1"/>
                </a:solidFill>
              </a:ln>
              <a:effectLst/>
            </c:spPr>
            <c:extLst>
              <c:ext xmlns:c16="http://schemas.microsoft.com/office/drawing/2014/chart" uri="{C3380CC4-5D6E-409C-BE32-E72D297353CC}">
                <c16:uniqueId val="{00000001-3E3F-459B-BC25-18E78CA7873B}"/>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3E3F-459B-BC25-18E78CA7873B}"/>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3E3F-459B-BC25-18E78CA7873B}"/>
              </c:ext>
            </c:extLst>
          </c:dPt>
          <c:dLbls>
            <c:dLbl>
              <c:idx val="0"/>
              <c:layout>
                <c:manualLayout>
                  <c:x val="-1.3263998250218723E-2"/>
                  <c:y val="-3.93463837853601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3F-459B-BC25-18E78CA7873B}"/>
                </c:ext>
              </c:extLst>
            </c:dLbl>
            <c:dLbl>
              <c:idx val="1"/>
              <c:layout>
                <c:manualLayout>
                  <c:x val="2.6688757655293088E-2"/>
                  <c:y val="-2.6543817439486816E-2"/>
                </c:manualLayout>
              </c:layout>
              <c:showLegendKey val="0"/>
              <c:showVal val="0"/>
              <c:showCatName val="0"/>
              <c:showSerName val="0"/>
              <c:showPercent val="1"/>
              <c:showBubbleSize val="0"/>
              <c:extLst>
                <c:ext xmlns:c15="http://schemas.microsoft.com/office/drawing/2012/chart" uri="{CE6537A1-D6FC-4f65-9D91-7224C49458BB}">
                  <c15:layout>
                    <c:manualLayout>
                      <c:w val="0.10685148731408574"/>
                      <c:h val="0.13127697579469233"/>
                    </c:manualLayout>
                  </c15:layout>
                </c:ext>
                <c:ext xmlns:c16="http://schemas.microsoft.com/office/drawing/2014/chart" uri="{C3380CC4-5D6E-409C-BE32-E72D297353CC}">
                  <c16:uniqueId val="{00000003-3E3F-459B-BC25-18E78CA7873B}"/>
                </c:ext>
              </c:extLst>
            </c:dLbl>
            <c:dLbl>
              <c:idx val="2"/>
              <c:layout>
                <c:manualLayout>
                  <c:x val="3.7206036745406824E-2"/>
                  <c:y val="2.49569845435987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3F-459B-BC25-18E78CA7873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EllipseCallout">
                    <a:avLst/>
                  </a:prstGeom>
                  <a:noFill/>
                  <a:ln>
                    <a:noFill/>
                  </a:ln>
                </c15:spPr>
              </c:ext>
            </c:extLst>
          </c:dLbls>
          <c:cat>
            <c:strRef>
              <c:f>SF_3_CM!$G$102:$G$104</c:f>
              <c:strCache>
                <c:ptCount val="3"/>
                <c:pt idx="0">
                  <c:v>Sensor</c:v>
                </c:pt>
                <c:pt idx="1">
                  <c:v>Logic</c:v>
                </c:pt>
                <c:pt idx="2">
                  <c:v>Final element</c:v>
                </c:pt>
              </c:strCache>
            </c:strRef>
          </c:cat>
          <c:val>
            <c:numRef>
              <c:f>SF_3_CM!$H$102:$H$104</c:f>
              <c:numCache>
                <c:formatCode>0%</c:formatCode>
                <c:ptCount val="3"/>
                <c:pt idx="0">
                  <c:v>0.13333333333333333</c:v>
                </c:pt>
                <c:pt idx="1">
                  <c:v>0.13166666666666668</c:v>
                </c:pt>
                <c:pt idx="2">
                  <c:v>0.81666666666666665</c:v>
                </c:pt>
              </c:numCache>
            </c:numRef>
          </c:val>
          <c:extLst>
            <c:ext xmlns:c16="http://schemas.microsoft.com/office/drawing/2014/chart" uri="{C3380CC4-5D6E-409C-BE32-E72D297353CC}">
              <c16:uniqueId val="{00000006-3E3F-459B-BC25-18E78CA7873B}"/>
            </c:ext>
          </c:extLst>
        </c:ser>
        <c:dLbls>
          <c:showLegendKey val="0"/>
          <c:showVal val="0"/>
          <c:showCatName val="0"/>
          <c:showSerName val="0"/>
          <c:showPercent val="1"/>
          <c:showBubbleSize val="0"/>
          <c:showLeaderLines val="1"/>
        </c:dLbls>
        <c:firstSliceAng val="45"/>
      </c:pieChart>
      <c:spPr>
        <a:noFill/>
        <a:ln>
          <a:noFill/>
        </a:ln>
        <a:effectLst/>
      </c:spPr>
    </c:plotArea>
    <c:legend>
      <c:legendPos val="r"/>
      <c:layout>
        <c:manualLayout>
          <c:xMode val="edge"/>
          <c:yMode val="edge"/>
          <c:x val="0.68148118985126849"/>
          <c:y val="0.40153834937299504"/>
          <c:w val="0.31124212598425199"/>
          <c:h val="0.35187007874015747"/>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creativecommons.org/freeworks"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chart" Target="../charts/chart2.xml"/><Relationship Id="rId11" Type="http://schemas.openxmlformats.org/officeDocument/2006/relationships/image" Target="../media/image10.png"/><Relationship Id="rId5" Type="http://schemas.openxmlformats.org/officeDocument/2006/relationships/chart" Target="../charts/chart1.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media/image2.png"/><Relationship Id="rId7"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image" Target="../media/image13.png"/><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114607</xdr:colOff>
      <xdr:row>0</xdr:row>
      <xdr:rowOff>0</xdr:rowOff>
    </xdr:from>
    <xdr:to>
      <xdr:col>0</xdr:col>
      <xdr:colOff>599153</xdr:colOff>
      <xdr:row>0</xdr:row>
      <xdr:rowOff>743943</xdr:rowOff>
    </xdr:to>
    <xdr:pic>
      <xdr:nvPicPr>
        <xdr:cNvPr id="4" name="Picture 3" descr="Ies_clr">
          <a:extLst>
            <a:ext uri="{FF2B5EF4-FFF2-40B4-BE49-F238E27FC236}">
              <a16:creationId xmlns:a16="http://schemas.microsoft.com/office/drawing/2014/main" id="{17D7A87B-24F0-43FE-BA88-2ACD72A257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07" y="0"/>
          <a:ext cx="484546" cy="745408"/>
        </a:xfrm>
        <a:prstGeom prst="rect">
          <a:avLst/>
        </a:prstGeom>
        <a:noFill/>
        <a:ln>
          <a:noFill/>
        </a:ln>
      </xdr:spPr>
    </xdr:pic>
    <xdr:clientData/>
  </xdr:twoCellAnchor>
  <xdr:twoCellAnchor editAs="oneCell">
    <xdr:from>
      <xdr:col>1</xdr:col>
      <xdr:colOff>26378</xdr:colOff>
      <xdr:row>0</xdr:row>
      <xdr:rowOff>378803</xdr:rowOff>
    </xdr:from>
    <xdr:to>
      <xdr:col>1</xdr:col>
      <xdr:colOff>688732</xdr:colOff>
      <xdr:row>0</xdr:row>
      <xdr:rowOff>586155</xdr:rowOff>
    </xdr:to>
    <xdr:pic>
      <xdr:nvPicPr>
        <xdr:cNvPr id="5" name="Picture 4">
          <a:extLst>
            <a:ext uri="{FF2B5EF4-FFF2-40B4-BE49-F238E27FC236}">
              <a16:creationId xmlns:a16="http://schemas.microsoft.com/office/drawing/2014/main" id="{B0007B18-E2AB-4D65-B0EE-136601DF07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397" y="378803"/>
          <a:ext cx="662354" cy="207352"/>
        </a:xfrm>
        <a:prstGeom prst="rect">
          <a:avLst/>
        </a:prstGeom>
      </xdr:spPr>
    </xdr:pic>
    <xdr:clientData/>
  </xdr:twoCellAnchor>
  <xdr:twoCellAnchor editAs="oneCell">
    <xdr:from>
      <xdr:col>1</xdr:col>
      <xdr:colOff>5568462</xdr:colOff>
      <xdr:row>0</xdr:row>
      <xdr:rowOff>73269</xdr:rowOff>
    </xdr:from>
    <xdr:to>
      <xdr:col>1</xdr:col>
      <xdr:colOff>7863987</xdr:colOff>
      <xdr:row>0</xdr:row>
      <xdr:rowOff>569839</xdr:rowOff>
    </xdr:to>
    <xdr:pic>
      <xdr:nvPicPr>
        <xdr:cNvPr id="2" name="Picture 1" descr="A picture containing text, font, screenshot&#10;&#10;Description automatically generated">
          <a:extLst>
            <a:ext uri="{FF2B5EF4-FFF2-40B4-BE49-F238E27FC236}">
              <a16:creationId xmlns:a16="http://schemas.microsoft.com/office/drawing/2014/main" id="{E6FB1FC8-5951-40A6-FE7B-6CCAE88642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08481" y="73269"/>
          <a:ext cx="2295525" cy="496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15</xdr:row>
      <xdr:rowOff>104775</xdr:rowOff>
    </xdr:from>
    <xdr:to>
      <xdr:col>1</xdr:col>
      <xdr:colOff>76200</xdr:colOff>
      <xdr:row>17</xdr:row>
      <xdr:rowOff>19050</xdr:rowOff>
    </xdr:to>
    <xdr:pic>
      <xdr:nvPicPr>
        <xdr:cNvPr id="6" name="Picture 5">
          <a:extLst>
            <a:ext uri="{FF2B5EF4-FFF2-40B4-BE49-F238E27FC236}">
              <a16:creationId xmlns:a16="http://schemas.microsoft.com/office/drawing/2014/main" id="{05BB187F-55C4-55EF-4792-A574589DDF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2305050"/>
          <a:ext cx="838200" cy="295275"/>
        </a:xfrm>
        <a:prstGeom prst="rect">
          <a:avLst/>
        </a:prstGeom>
      </xdr:spPr>
    </xdr:pic>
    <xdr:clientData/>
  </xdr:twoCellAnchor>
  <xdr:twoCellAnchor editAs="oneCell">
    <xdr:from>
      <xdr:col>0</xdr:col>
      <xdr:colOff>200025</xdr:colOff>
      <xdr:row>11</xdr:row>
      <xdr:rowOff>76200</xdr:rowOff>
    </xdr:from>
    <xdr:to>
      <xdr:col>1</xdr:col>
      <xdr:colOff>18963</xdr:colOff>
      <xdr:row>15</xdr:row>
      <xdr:rowOff>38010</xdr:rowOff>
    </xdr:to>
    <xdr:pic>
      <xdr:nvPicPr>
        <xdr:cNvPr id="7" name="Picture 6">
          <a:hlinkClick xmlns:r="http://schemas.openxmlformats.org/officeDocument/2006/relationships" r:id="rId2"/>
          <a:extLst>
            <a:ext uri="{FF2B5EF4-FFF2-40B4-BE49-F238E27FC236}">
              <a16:creationId xmlns:a16="http://schemas.microsoft.com/office/drawing/2014/main" id="{49A3C75D-1998-304C-A5FC-09BB608919B0}"/>
            </a:ext>
          </a:extLst>
        </xdr:cNvPr>
        <xdr:cNvPicPr>
          <a:picLocks noChangeAspect="1"/>
        </xdr:cNvPicPr>
      </xdr:nvPicPr>
      <xdr:blipFill>
        <a:blip xmlns:r="http://schemas.openxmlformats.org/officeDocument/2006/relationships" r:embed="rId3"/>
        <a:stretch>
          <a:fillRect/>
        </a:stretch>
      </xdr:blipFill>
      <xdr:spPr>
        <a:xfrm>
          <a:off x="200025" y="1514475"/>
          <a:ext cx="695238" cy="7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438456</xdr:colOff>
      <xdr:row>0</xdr:row>
      <xdr:rowOff>38100</xdr:rowOff>
    </xdr:from>
    <xdr:to>
      <xdr:col>1</xdr:col>
      <xdr:colOff>952499</xdr:colOff>
      <xdr:row>1</xdr:row>
      <xdr:rowOff>9525</xdr:rowOff>
    </xdr:to>
    <xdr:pic>
      <xdr:nvPicPr>
        <xdr:cNvPr id="3" name="Picture 2" descr="Ies_clr">
          <a:extLst>
            <a:ext uri="{FF2B5EF4-FFF2-40B4-BE49-F238E27FC236}">
              <a16:creationId xmlns:a16="http://schemas.microsoft.com/office/drawing/2014/main" id="{8EB06166-BA7E-4D14-9169-FC2EEDD251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931" y="38100"/>
          <a:ext cx="514043" cy="819150"/>
        </a:xfrm>
        <a:prstGeom prst="rect">
          <a:avLst/>
        </a:prstGeom>
        <a:noFill/>
        <a:ln>
          <a:noFill/>
        </a:ln>
      </xdr:spPr>
    </xdr:pic>
    <xdr:clientData/>
  </xdr:twoCellAnchor>
  <xdr:twoCellAnchor editAs="oneCell">
    <xdr:from>
      <xdr:col>2</xdr:col>
      <xdr:colOff>38100</xdr:colOff>
      <xdr:row>0</xdr:row>
      <xdr:rowOff>495300</xdr:rowOff>
    </xdr:from>
    <xdr:to>
      <xdr:col>2</xdr:col>
      <xdr:colOff>752476</xdr:colOff>
      <xdr:row>0</xdr:row>
      <xdr:rowOff>785849</xdr:rowOff>
    </xdr:to>
    <xdr:pic>
      <xdr:nvPicPr>
        <xdr:cNvPr id="4" name="Picture 3">
          <a:extLst>
            <a:ext uri="{FF2B5EF4-FFF2-40B4-BE49-F238E27FC236}">
              <a16:creationId xmlns:a16="http://schemas.microsoft.com/office/drawing/2014/main" id="{18AE80A1-2F38-41A1-AA42-98046A6F49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05050" y="495300"/>
          <a:ext cx="714376" cy="290549"/>
        </a:xfrm>
        <a:prstGeom prst="rect">
          <a:avLst/>
        </a:prstGeom>
      </xdr:spPr>
    </xdr:pic>
    <xdr:clientData/>
  </xdr:twoCellAnchor>
  <xdr:twoCellAnchor editAs="oneCell">
    <xdr:from>
      <xdr:col>9</xdr:col>
      <xdr:colOff>266700</xdr:colOff>
      <xdr:row>0</xdr:row>
      <xdr:rowOff>85725</xdr:rowOff>
    </xdr:from>
    <xdr:to>
      <xdr:col>10</xdr:col>
      <xdr:colOff>1809750</xdr:colOff>
      <xdr:row>0</xdr:row>
      <xdr:rowOff>582295</xdr:rowOff>
    </xdr:to>
    <xdr:pic>
      <xdr:nvPicPr>
        <xdr:cNvPr id="2" name="Picture 1" descr="A picture containing text, font, screenshot&#10;&#10;Description automatically generated">
          <a:extLst>
            <a:ext uri="{FF2B5EF4-FFF2-40B4-BE49-F238E27FC236}">
              <a16:creationId xmlns:a16="http://schemas.microsoft.com/office/drawing/2014/main" id="{41C432FE-2E92-4781-BFE9-6CD88B7817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25300" y="85725"/>
          <a:ext cx="2295525" cy="49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120555</xdr:colOff>
      <xdr:row>121</xdr:row>
      <xdr:rowOff>180024</xdr:rowOff>
    </xdr:from>
    <xdr:to>
      <xdr:col>33</xdr:col>
      <xdr:colOff>414619</xdr:colOff>
      <xdr:row>124</xdr:row>
      <xdr:rowOff>58263</xdr:rowOff>
    </xdr:to>
    <xdr:sp macro="" textlink="">
      <xdr:nvSpPr>
        <xdr:cNvPr id="2" name="TextBox 4">
          <a:extLst>
            <a:ext uri="{FF2B5EF4-FFF2-40B4-BE49-F238E27FC236}">
              <a16:creationId xmlns:a16="http://schemas.microsoft.com/office/drawing/2014/main" id="{2C2CCADA-3A75-4639-BFF1-DBF7DE408858}"/>
            </a:ext>
          </a:extLst>
        </xdr:cNvPr>
        <xdr:cNvSpPr txBox="1"/>
      </xdr:nvSpPr>
      <xdr:spPr>
        <a:xfrm>
          <a:off x="27720643" y="29057583"/>
          <a:ext cx="3711858" cy="44973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umimoji="1" sz="3200" kern="1200">
              <a:solidFill>
                <a:schemeClr val="tx1"/>
              </a:solidFill>
              <a:latin typeface="Arial" charset="0"/>
              <a:ea typeface="+mn-ea"/>
              <a:cs typeface="+mn-cs"/>
            </a:defRPr>
          </a:lvl1pPr>
          <a:lvl2pPr marL="457200" algn="l" rtl="0" eaLnBrk="0" fontAlgn="base" hangingPunct="0">
            <a:spcBef>
              <a:spcPct val="0"/>
            </a:spcBef>
            <a:spcAft>
              <a:spcPct val="0"/>
            </a:spcAft>
            <a:defRPr kumimoji="1" sz="3200" kern="1200">
              <a:solidFill>
                <a:schemeClr val="tx1"/>
              </a:solidFill>
              <a:latin typeface="Arial" charset="0"/>
              <a:ea typeface="+mn-ea"/>
              <a:cs typeface="+mn-cs"/>
            </a:defRPr>
          </a:lvl2pPr>
          <a:lvl3pPr marL="914400" algn="l" rtl="0" eaLnBrk="0" fontAlgn="base" hangingPunct="0">
            <a:spcBef>
              <a:spcPct val="0"/>
            </a:spcBef>
            <a:spcAft>
              <a:spcPct val="0"/>
            </a:spcAft>
            <a:defRPr kumimoji="1" sz="3200" kern="1200">
              <a:solidFill>
                <a:schemeClr val="tx1"/>
              </a:solidFill>
              <a:latin typeface="Arial" charset="0"/>
              <a:ea typeface="+mn-ea"/>
              <a:cs typeface="+mn-cs"/>
            </a:defRPr>
          </a:lvl3pPr>
          <a:lvl4pPr marL="1371600" algn="l" rtl="0" eaLnBrk="0" fontAlgn="base" hangingPunct="0">
            <a:spcBef>
              <a:spcPct val="0"/>
            </a:spcBef>
            <a:spcAft>
              <a:spcPct val="0"/>
            </a:spcAft>
            <a:defRPr kumimoji="1" sz="3200" kern="1200">
              <a:solidFill>
                <a:schemeClr val="tx1"/>
              </a:solidFill>
              <a:latin typeface="Arial" charset="0"/>
              <a:ea typeface="+mn-ea"/>
              <a:cs typeface="+mn-cs"/>
            </a:defRPr>
          </a:lvl4pPr>
          <a:lvl5pPr marL="1828800" algn="l" rtl="0" eaLnBrk="0" fontAlgn="base" hangingPunct="0">
            <a:spcBef>
              <a:spcPct val="0"/>
            </a:spcBef>
            <a:spcAft>
              <a:spcPct val="0"/>
            </a:spcAft>
            <a:defRPr kumimoji="1" sz="3200" kern="1200">
              <a:solidFill>
                <a:schemeClr val="tx1"/>
              </a:solidFill>
              <a:latin typeface="Arial" charset="0"/>
              <a:ea typeface="+mn-ea"/>
              <a:cs typeface="+mn-cs"/>
            </a:defRPr>
          </a:lvl5pPr>
          <a:lvl6pPr marL="2286000" algn="l" defTabSz="914400" rtl="0" eaLnBrk="1" latinLnBrk="0" hangingPunct="1">
            <a:defRPr kumimoji="1" sz="3200" kern="1200">
              <a:solidFill>
                <a:schemeClr val="tx1"/>
              </a:solidFill>
              <a:latin typeface="Arial" charset="0"/>
              <a:ea typeface="+mn-ea"/>
              <a:cs typeface="+mn-cs"/>
            </a:defRPr>
          </a:lvl6pPr>
          <a:lvl7pPr marL="2743200" algn="l" defTabSz="914400" rtl="0" eaLnBrk="1" latinLnBrk="0" hangingPunct="1">
            <a:defRPr kumimoji="1" sz="3200" kern="1200">
              <a:solidFill>
                <a:schemeClr val="tx1"/>
              </a:solidFill>
              <a:latin typeface="Arial" charset="0"/>
              <a:ea typeface="+mn-ea"/>
              <a:cs typeface="+mn-cs"/>
            </a:defRPr>
          </a:lvl7pPr>
          <a:lvl8pPr marL="3200400" algn="l" defTabSz="914400" rtl="0" eaLnBrk="1" latinLnBrk="0" hangingPunct="1">
            <a:defRPr kumimoji="1" sz="3200" kern="1200">
              <a:solidFill>
                <a:schemeClr val="tx1"/>
              </a:solidFill>
              <a:latin typeface="Arial" charset="0"/>
              <a:ea typeface="+mn-ea"/>
              <a:cs typeface="+mn-cs"/>
            </a:defRPr>
          </a:lvl8pPr>
          <a:lvl9pPr marL="3657600" algn="l" defTabSz="914400" rtl="0" eaLnBrk="1" latinLnBrk="0" hangingPunct="1">
            <a:defRPr kumimoji="1" sz="3200" kern="1200">
              <a:solidFill>
                <a:schemeClr val="tx1"/>
              </a:solidFill>
              <a:latin typeface="Arial" charset="0"/>
              <a:ea typeface="+mn-ea"/>
              <a:cs typeface="+mn-cs"/>
            </a:defRPr>
          </a:lvl9pPr>
        </a:lstStyle>
        <a:p>
          <a:r>
            <a:rPr lang="en-GB" sz="1200" i="1">
              <a:solidFill>
                <a:srgbClr val="000000"/>
              </a:solidFill>
              <a:latin typeface="Cambria" panose="02040503050406030204" pitchFamily="18" charset="0"/>
              <a:ea typeface="Cambria" panose="02040503050406030204" pitchFamily="18" charset="0"/>
            </a:rPr>
            <a:t>STR</a:t>
          </a:r>
          <a:r>
            <a:rPr lang="en-GB" sz="1200">
              <a:solidFill>
                <a:srgbClr val="000000"/>
              </a:solidFill>
              <a:latin typeface="Cambria" panose="02040503050406030204" pitchFamily="18" charset="0"/>
              <a:ea typeface="Cambria" panose="02040503050406030204" pitchFamily="18" charset="0"/>
            </a:rPr>
            <a:t> = [N! / (N-M)!    . (</a:t>
          </a:r>
          <a:r>
            <a:rPr lang="el-GR" sz="1200" i="1">
              <a:solidFill>
                <a:srgbClr val="000000"/>
              </a:solidFill>
              <a:latin typeface="Cambria" panose="02040503050406030204" pitchFamily="18" charset="0"/>
              <a:ea typeface="Cambria" panose="02040503050406030204" pitchFamily="18" charset="0"/>
            </a:rPr>
            <a:t>λ</a:t>
          </a:r>
          <a:r>
            <a:rPr lang="en-AU" sz="1200" i="1" baseline="-25000">
              <a:solidFill>
                <a:srgbClr val="000000"/>
              </a:solidFill>
              <a:latin typeface="Cambria" panose="02040503050406030204" pitchFamily="18" charset="0"/>
              <a:ea typeface="Cambria" panose="02040503050406030204" pitchFamily="18" charset="0"/>
            </a:rPr>
            <a:t>SU</a:t>
          </a:r>
          <a:r>
            <a:rPr lang="en-GB" sz="1200" i="1">
              <a:solidFill>
                <a:srgbClr val="000000"/>
              </a:solidFill>
              <a:latin typeface="Cambria" panose="02040503050406030204" pitchFamily="18" charset="0"/>
              <a:ea typeface="Cambria" panose="02040503050406030204" pitchFamily="18" charset="0"/>
            </a:rPr>
            <a:t> </a:t>
          </a:r>
          <a:r>
            <a:rPr lang="en-GB" sz="1200">
              <a:solidFill>
                <a:srgbClr val="000000"/>
              </a:solidFill>
              <a:latin typeface="Cambria" panose="02040503050406030204" pitchFamily="18" charset="0"/>
              <a:ea typeface="Cambria" panose="02040503050406030204" pitchFamily="18" charset="0"/>
            </a:rPr>
            <a:t>)</a:t>
          </a:r>
          <a:r>
            <a:rPr lang="en-AU" sz="1200" baseline="30000">
              <a:solidFill>
                <a:srgbClr val="000000"/>
              </a:solidFill>
              <a:latin typeface="Cambria" panose="02040503050406030204" pitchFamily="18" charset="0"/>
              <a:ea typeface="Cambria" panose="02040503050406030204" pitchFamily="18" charset="0"/>
            </a:rPr>
            <a:t>M</a:t>
          </a:r>
          <a:r>
            <a:rPr lang="en-AU" sz="1200">
              <a:solidFill>
                <a:srgbClr val="000000"/>
              </a:solidFill>
              <a:latin typeface="Cambria" panose="02040503050406030204" pitchFamily="18" charset="0"/>
              <a:ea typeface="Cambria" panose="02040503050406030204" pitchFamily="18" charset="0"/>
            </a:rPr>
            <a:t>  </a:t>
          </a:r>
          <a:r>
            <a:rPr lang="en-GB" sz="1200">
              <a:solidFill>
                <a:srgbClr val="000000"/>
              </a:solidFill>
              <a:latin typeface="Cambria" panose="02040503050406030204" pitchFamily="18" charset="0"/>
              <a:ea typeface="Cambria" panose="02040503050406030204" pitchFamily="18" charset="0"/>
            </a:rPr>
            <a:t>. </a:t>
          </a:r>
          <a:r>
            <a:rPr lang="en-GB" sz="1200" i="1">
              <a:solidFill>
                <a:srgbClr val="000000"/>
              </a:solidFill>
              <a:latin typeface="Cambria" panose="02040503050406030204" pitchFamily="18" charset="0"/>
              <a:ea typeface="Cambria" panose="02040503050406030204" pitchFamily="18" charset="0"/>
            </a:rPr>
            <a:t>MTTR</a:t>
          </a:r>
          <a:r>
            <a:rPr lang="en-GB" sz="1200" baseline="30000">
              <a:solidFill>
                <a:srgbClr val="000000"/>
              </a:solidFill>
              <a:latin typeface="Cambria" panose="02040503050406030204" pitchFamily="18" charset="0"/>
              <a:ea typeface="Cambria" panose="02040503050406030204" pitchFamily="18" charset="0"/>
            </a:rPr>
            <a:t>(M-1)</a:t>
          </a:r>
          <a:r>
            <a:rPr lang="en-GB" sz="1200">
              <a:solidFill>
                <a:srgbClr val="000000"/>
              </a:solidFill>
              <a:latin typeface="Cambria" panose="02040503050406030204" pitchFamily="18" charset="0"/>
              <a:ea typeface="Cambria" panose="02040503050406030204" pitchFamily="18" charset="0"/>
            </a:rPr>
            <a:t> ] + </a:t>
          </a:r>
          <a:r>
            <a:rPr lang="en-GB" sz="1200" i="1">
              <a:solidFill>
                <a:srgbClr val="000000"/>
              </a:solidFill>
              <a:latin typeface="Cambria" panose="02040503050406030204" pitchFamily="18" charset="0"/>
              <a:ea typeface="Cambria" panose="02040503050406030204" pitchFamily="18" charset="0"/>
            </a:rPr>
            <a:t>β</a:t>
          </a:r>
          <a:r>
            <a:rPr lang="en-GB" sz="1200">
              <a:solidFill>
                <a:srgbClr val="000000"/>
              </a:solidFill>
              <a:latin typeface="Cambria" panose="02040503050406030204" pitchFamily="18" charset="0"/>
              <a:ea typeface="Cambria" panose="02040503050406030204" pitchFamily="18" charset="0"/>
            </a:rPr>
            <a:t> . (</a:t>
          </a:r>
          <a:r>
            <a:rPr lang="el-GR" sz="1200" i="1">
              <a:solidFill>
                <a:srgbClr val="000000"/>
              </a:solidFill>
              <a:latin typeface="Cambria" panose="02040503050406030204" pitchFamily="18" charset="0"/>
              <a:ea typeface="Cambria" panose="02040503050406030204" pitchFamily="18" charset="0"/>
            </a:rPr>
            <a:t>λ</a:t>
          </a:r>
          <a:r>
            <a:rPr lang="en-AU" sz="1200" i="1" baseline="-25000">
              <a:solidFill>
                <a:srgbClr val="000000"/>
              </a:solidFill>
              <a:latin typeface="Cambria" panose="02040503050406030204" pitchFamily="18" charset="0"/>
              <a:ea typeface="Cambria" panose="02040503050406030204" pitchFamily="18" charset="0"/>
            </a:rPr>
            <a:t>SU</a:t>
          </a:r>
          <a:r>
            <a:rPr lang="en-GB" sz="1200">
              <a:solidFill>
                <a:srgbClr val="000000"/>
              </a:solidFill>
              <a:latin typeface="Cambria" panose="02040503050406030204" pitchFamily="18" charset="0"/>
              <a:ea typeface="Cambria" panose="02040503050406030204" pitchFamily="18" charset="0"/>
            </a:rPr>
            <a:t> )</a:t>
          </a:r>
          <a:endParaRPr lang="en-AU" sz="1200">
            <a:solidFill>
              <a:srgbClr val="000000"/>
            </a:solidFill>
            <a:latin typeface="Cambria" panose="02040503050406030204" pitchFamily="18" charset="0"/>
            <a:ea typeface="Cambria" panose="02040503050406030204" pitchFamily="18" charset="0"/>
          </a:endParaRPr>
        </a:p>
        <a:p>
          <a:endParaRPr lang="en-AU" sz="1200">
            <a:solidFill>
              <a:srgbClr val="000000"/>
            </a:solidFill>
          </a:endParaRPr>
        </a:p>
      </xdr:txBody>
    </xdr:sp>
    <xdr:clientData/>
  </xdr:twoCellAnchor>
  <xdr:twoCellAnchor editAs="oneCell">
    <xdr:from>
      <xdr:col>34</xdr:col>
      <xdr:colOff>448235</xdr:colOff>
      <xdr:row>127</xdr:row>
      <xdr:rowOff>116395</xdr:rowOff>
    </xdr:from>
    <xdr:to>
      <xdr:col>34</xdr:col>
      <xdr:colOff>1204865</xdr:colOff>
      <xdr:row>127</xdr:row>
      <xdr:rowOff>543643</xdr:rowOff>
    </xdr:to>
    <xdr:pic>
      <xdr:nvPicPr>
        <xdr:cNvPr id="3" name="Picture 2">
          <a:extLst>
            <a:ext uri="{FF2B5EF4-FFF2-40B4-BE49-F238E27FC236}">
              <a16:creationId xmlns:a16="http://schemas.microsoft.com/office/drawing/2014/main" id="{4F677EC3-E8A1-497A-8827-508406D1E252}"/>
            </a:ext>
          </a:extLst>
        </xdr:cNvPr>
        <xdr:cNvPicPr>
          <a:picLocks noChangeAspect="1"/>
        </xdr:cNvPicPr>
      </xdr:nvPicPr>
      <xdr:blipFill>
        <a:blip xmlns:r="http://schemas.openxmlformats.org/officeDocument/2006/relationships" r:embed="rId1"/>
        <a:stretch>
          <a:fillRect/>
        </a:stretch>
      </xdr:blipFill>
      <xdr:spPr>
        <a:xfrm>
          <a:off x="25179617" y="30327454"/>
          <a:ext cx="756630" cy="427248"/>
        </a:xfrm>
        <a:prstGeom prst="rect">
          <a:avLst/>
        </a:prstGeom>
      </xdr:spPr>
    </xdr:pic>
    <xdr:clientData/>
  </xdr:twoCellAnchor>
  <xdr:twoCellAnchor editAs="oneCell">
    <xdr:from>
      <xdr:col>27</xdr:col>
      <xdr:colOff>863033</xdr:colOff>
      <xdr:row>127</xdr:row>
      <xdr:rowOff>23677</xdr:rowOff>
    </xdr:from>
    <xdr:to>
      <xdr:col>28</xdr:col>
      <xdr:colOff>651923</xdr:colOff>
      <xdr:row>127</xdr:row>
      <xdr:rowOff>192669</xdr:rowOff>
    </xdr:to>
    <xdr:pic>
      <xdr:nvPicPr>
        <xdr:cNvPr id="4" name="Picture 3">
          <a:extLst>
            <a:ext uri="{FF2B5EF4-FFF2-40B4-BE49-F238E27FC236}">
              <a16:creationId xmlns:a16="http://schemas.microsoft.com/office/drawing/2014/main" id="{BBF99324-B15B-4CEE-8D34-79792D0C7227}"/>
            </a:ext>
          </a:extLst>
        </xdr:cNvPr>
        <xdr:cNvPicPr>
          <a:picLocks noChangeAspect="1"/>
        </xdr:cNvPicPr>
      </xdr:nvPicPr>
      <xdr:blipFill>
        <a:blip xmlns:r="http://schemas.openxmlformats.org/officeDocument/2006/relationships" r:embed="rId2"/>
        <a:stretch>
          <a:fillRect/>
        </a:stretch>
      </xdr:blipFill>
      <xdr:spPr>
        <a:xfrm>
          <a:off x="27611474" y="30234736"/>
          <a:ext cx="653984" cy="168992"/>
        </a:xfrm>
        <a:prstGeom prst="rect">
          <a:avLst/>
        </a:prstGeom>
      </xdr:spPr>
    </xdr:pic>
    <xdr:clientData/>
  </xdr:twoCellAnchor>
  <xdr:twoCellAnchor editAs="oneCell">
    <xdr:from>
      <xdr:col>0</xdr:col>
      <xdr:colOff>114607</xdr:colOff>
      <xdr:row>0</xdr:row>
      <xdr:rowOff>0</xdr:rowOff>
    </xdr:from>
    <xdr:to>
      <xdr:col>0</xdr:col>
      <xdr:colOff>599153</xdr:colOff>
      <xdr:row>0</xdr:row>
      <xdr:rowOff>745408</xdr:rowOff>
    </xdr:to>
    <xdr:pic>
      <xdr:nvPicPr>
        <xdr:cNvPr id="8" name="Picture 7" descr="Ies_clr">
          <a:extLst>
            <a:ext uri="{FF2B5EF4-FFF2-40B4-BE49-F238E27FC236}">
              <a16:creationId xmlns:a16="http://schemas.microsoft.com/office/drawing/2014/main" id="{F2F80CC6-9941-4F99-9A1B-3809556F3A6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607" y="0"/>
          <a:ext cx="484546" cy="745408"/>
        </a:xfrm>
        <a:prstGeom prst="rect">
          <a:avLst/>
        </a:prstGeom>
        <a:noFill/>
        <a:ln>
          <a:noFill/>
        </a:ln>
      </xdr:spPr>
    </xdr:pic>
    <xdr:clientData/>
  </xdr:twoCellAnchor>
  <xdr:twoCellAnchor>
    <xdr:from>
      <xdr:col>4</xdr:col>
      <xdr:colOff>19050</xdr:colOff>
      <xdr:row>76</xdr:row>
      <xdr:rowOff>133350</xdr:rowOff>
    </xdr:from>
    <xdr:to>
      <xdr:col>4</xdr:col>
      <xdr:colOff>1036996</xdr:colOff>
      <xdr:row>76</xdr:row>
      <xdr:rowOff>138266</xdr:rowOff>
    </xdr:to>
    <xdr:cxnSp macro="">
      <xdr:nvCxnSpPr>
        <xdr:cNvPr id="10" name="Straight Arrow Connector 9">
          <a:extLst>
            <a:ext uri="{FF2B5EF4-FFF2-40B4-BE49-F238E27FC236}">
              <a16:creationId xmlns:a16="http://schemas.microsoft.com/office/drawing/2014/main" id="{48748781-4846-4ADA-B6C9-F715E04ADB90}"/>
            </a:ext>
          </a:extLst>
        </xdr:cNvPr>
        <xdr:cNvCxnSpPr/>
      </xdr:nvCxnSpPr>
      <xdr:spPr>
        <a:xfrm>
          <a:off x="2999453" y="17301394"/>
          <a:ext cx="1017946" cy="49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76</xdr:row>
      <xdr:rowOff>123825</xdr:rowOff>
    </xdr:from>
    <xdr:to>
      <xdr:col>7</xdr:col>
      <xdr:colOff>16014</xdr:colOff>
      <xdr:row>76</xdr:row>
      <xdr:rowOff>126586</xdr:rowOff>
    </xdr:to>
    <xdr:cxnSp macro="">
      <xdr:nvCxnSpPr>
        <xdr:cNvPr id="11" name="Straight Arrow Connector 10">
          <a:extLst>
            <a:ext uri="{FF2B5EF4-FFF2-40B4-BE49-F238E27FC236}">
              <a16:creationId xmlns:a16="http://schemas.microsoft.com/office/drawing/2014/main" id="{A26C7EDC-F6F0-44FB-B5AC-B309A0FE7802}"/>
            </a:ext>
          </a:extLst>
        </xdr:cNvPr>
        <xdr:cNvCxnSpPr/>
      </xdr:nvCxnSpPr>
      <xdr:spPr>
        <a:xfrm>
          <a:off x="4676775" y="15944850"/>
          <a:ext cx="606564" cy="276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76</xdr:row>
      <xdr:rowOff>133350</xdr:rowOff>
    </xdr:from>
    <xdr:to>
      <xdr:col>2</xdr:col>
      <xdr:colOff>589170</xdr:colOff>
      <xdr:row>76</xdr:row>
      <xdr:rowOff>138872</xdr:rowOff>
    </xdr:to>
    <xdr:cxnSp macro="">
      <xdr:nvCxnSpPr>
        <xdr:cNvPr id="12" name="Straight Arrow Connector 11">
          <a:extLst>
            <a:ext uri="{FF2B5EF4-FFF2-40B4-BE49-F238E27FC236}">
              <a16:creationId xmlns:a16="http://schemas.microsoft.com/office/drawing/2014/main" id="{4F3C1A30-3CAE-415D-A8D2-E1717D789145}"/>
            </a:ext>
          </a:extLst>
        </xdr:cNvPr>
        <xdr:cNvCxnSpPr/>
      </xdr:nvCxnSpPr>
      <xdr:spPr>
        <a:xfrm>
          <a:off x="1276350" y="15954375"/>
          <a:ext cx="941595" cy="5522"/>
        </a:xfrm>
        <a:prstGeom prst="straightConnector1">
          <a:avLst/>
        </a:prstGeom>
        <a:ln w="38100">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10139</xdr:colOff>
      <xdr:row>76</xdr:row>
      <xdr:rowOff>123825</xdr:rowOff>
    </xdr:from>
    <xdr:to>
      <xdr:col>9</xdr:col>
      <xdr:colOff>436659</xdr:colOff>
      <xdr:row>76</xdr:row>
      <xdr:rowOff>129209</xdr:rowOff>
    </xdr:to>
    <xdr:cxnSp macro="">
      <xdr:nvCxnSpPr>
        <xdr:cNvPr id="13" name="Straight Arrow Connector 12">
          <a:extLst>
            <a:ext uri="{FF2B5EF4-FFF2-40B4-BE49-F238E27FC236}">
              <a16:creationId xmlns:a16="http://schemas.microsoft.com/office/drawing/2014/main" id="{1813098E-3A2C-472F-8C4A-3DC6D080EBA1}"/>
            </a:ext>
          </a:extLst>
        </xdr:cNvPr>
        <xdr:cNvCxnSpPr/>
      </xdr:nvCxnSpPr>
      <xdr:spPr>
        <a:xfrm>
          <a:off x="6654595" y="17291869"/>
          <a:ext cx="1033354" cy="5384"/>
        </a:xfrm>
        <a:prstGeom prst="straightConnector1">
          <a:avLst/>
        </a:prstGeom>
        <a:ln w="38100">
          <a:solidFill>
            <a:schemeClr val="tx1"/>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19050</xdr:colOff>
      <xdr:row>0</xdr:row>
      <xdr:rowOff>276225</xdr:rowOff>
    </xdr:from>
    <xdr:to>
      <xdr:col>1</xdr:col>
      <xdr:colOff>855714</xdr:colOff>
      <xdr:row>0</xdr:row>
      <xdr:rowOff>652001</xdr:rowOff>
    </xdr:to>
    <xdr:pic>
      <xdr:nvPicPr>
        <xdr:cNvPr id="14" name="Picture 13">
          <a:extLst>
            <a:ext uri="{FF2B5EF4-FFF2-40B4-BE49-F238E27FC236}">
              <a16:creationId xmlns:a16="http://schemas.microsoft.com/office/drawing/2014/main" id="{2EF90686-D083-46EE-86AF-8E349D4D770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 y="457200"/>
          <a:ext cx="838200" cy="371474"/>
        </a:xfrm>
        <a:prstGeom prst="rect">
          <a:avLst/>
        </a:prstGeom>
      </xdr:spPr>
    </xdr:pic>
    <xdr:clientData/>
  </xdr:twoCellAnchor>
  <xdr:twoCellAnchor>
    <xdr:from>
      <xdr:col>9</xdr:col>
      <xdr:colOff>72198</xdr:colOff>
      <xdr:row>82</xdr:row>
      <xdr:rowOff>217504</xdr:rowOff>
    </xdr:from>
    <xdr:to>
      <xdr:col>17</xdr:col>
      <xdr:colOff>148942</xdr:colOff>
      <xdr:row>104</xdr:row>
      <xdr:rowOff>163870</xdr:rowOff>
    </xdr:to>
    <xdr:graphicFrame macro="">
      <xdr:nvGraphicFramePr>
        <xdr:cNvPr id="16" name="Chart 15">
          <a:extLst>
            <a:ext uri="{FF2B5EF4-FFF2-40B4-BE49-F238E27FC236}">
              <a16:creationId xmlns:a16="http://schemas.microsoft.com/office/drawing/2014/main" id="{6180EDFC-80B8-4F80-AD9B-F30AEF687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513747</xdr:colOff>
      <xdr:row>83</xdr:row>
      <xdr:rowOff>69389</xdr:rowOff>
    </xdr:from>
    <xdr:to>
      <xdr:col>14</xdr:col>
      <xdr:colOff>16379</xdr:colOff>
      <xdr:row>84</xdr:row>
      <xdr:rowOff>10773</xdr:rowOff>
    </xdr:to>
    <xdr:sp macro="" textlink="">
      <xdr:nvSpPr>
        <xdr:cNvPr id="17" name="Rectangle 16">
          <a:extLst>
            <a:ext uri="{FF2B5EF4-FFF2-40B4-BE49-F238E27FC236}">
              <a16:creationId xmlns:a16="http://schemas.microsoft.com/office/drawing/2014/main" id="{5EF95FB0-5C97-1EA1-2997-829EA961349D}"/>
            </a:ext>
          </a:extLst>
        </xdr:cNvPr>
        <xdr:cNvSpPr/>
      </xdr:nvSpPr>
      <xdr:spPr>
        <a:xfrm>
          <a:off x="11204159" y="20038271"/>
          <a:ext cx="354279" cy="546502"/>
        </a:xfrm>
        <a:prstGeom prst="rect">
          <a:avLst/>
        </a:prstGeom>
        <a:gradFill>
          <a:gsLst>
            <a:gs pos="0">
              <a:schemeClr val="accent1">
                <a:lumMod val="0"/>
                <a:lumOff val="100000"/>
              </a:schemeClr>
            </a:gs>
            <a:gs pos="42000">
              <a:schemeClr val="accent1">
                <a:lumMod val="45000"/>
                <a:lumOff val="55000"/>
              </a:schemeClr>
            </a:gs>
            <a:gs pos="58000">
              <a:schemeClr val="accent1">
                <a:lumMod val="75000"/>
                <a:lumOff val="25000"/>
              </a:schemeClr>
            </a:gs>
            <a:gs pos="100000">
              <a:schemeClr val="accent1">
                <a:lumMod val="0"/>
                <a:lumOff val="10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28015</xdr:colOff>
      <xdr:row>97</xdr:row>
      <xdr:rowOff>79563</xdr:rowOff>
    </xdr:from>
    <xdr:to>
      <xdr:col>11</xdr:col>
      <xdr:colOff>498662</xdr:colOff>
      <xdr:row>111</xdr:row>
      <xdr:rowOff>99734</xdr:rowOff>
    </xdr:to>
    <xdr:graphicFrame macro="">
      <xdr:nvGraphicFramePr>
        <xdr:cNvPr id="9" name="Chart 8">
          <a:extLst>
            <a:ext uri="{FF2B5EF4-FFF2-40B4-BE49-F238E27FC236}">
              <a16:creationId xmlns:a16="http://schemas.microsoft.com/office/drawing/2014/main" id="{A87C1AFE-D6A1-F839-4A29-8EAE57B85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11</xdr:col>
      <xdr:colOff>728382</xdr:colOff>
      <xdr:row>0</xdr:row>
      <xdr:rowOff>89647</xdr:rowOff>
    </xdr:from>
    <xdr:to>
      <xdr:col>14</xdr:col>
      <xdr:colOff>592230</xdr:colOff>
      <xdr:row>0</xdr:row>
      <xdr:rowOff>586217</xdr:rowOff>
    </xdr:to>
    <xdr:pic>
      <xdr:nvPicPr>
        <xdr:cNvPr id="18" name="Picture 17" descr="A picture containing text, font, screenshot&#10;&#10;Description automatically generated">
          <a:extLst>
            <a:ext uri="{FF2B5EF4-FFF2-40B4-BE49-F238E27FC236}">
              <a16:creationId xmlns:a16="http://schemas.microsoft.com/office/drawing/2014/main" id="{FFEFA0C9-03ED-5EFC-1C1A-1DC579FDDDB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838764" y="89647"/>
          <a:ext cx="2295525" cy="496570"/>
        </a:xfrm>
        <a:prstGeom prst="rect">
          <a:avLst/>
        </a:prstGeom>
      </xdr:spPr>
    </xdr:pic>
    <xdr:clientData/>
  </xdr:twoCellAnchor>
  <xdr:twoCellAnchor editAs="oneCell">
    <xdr:from>
      <xdr:col>33</xdr:col>
      <xdr:colOff>593912</xdr:colOff>
      <xdr:row>111</xdr:row>
      <xdr:rowOff>92612</xdr:rowOff>
    </xdr:from>
    <xdr:to>
      <xdr:col>37</xdr:col>
      <xdr:colOff>995083</xdr:colOff>
      <xdr:row>114</xdr:row>
      <xdr:rowOff>211</xdr:rowOff>
    </xdr:to>
    <xdr:pic>
      <xdr:nvPicPr>
        <xdr:cNvPr id="20" name="Picture 19">
          <a:extLst>
            <a:ext uri="{FF2B5EF4-FFF2-40B4-BE49-F238E27FC236}">
              <a16:creationId xmlns:a16="http://schemas.microsoft.com/office/drawing/2014/main" id="{BE37A102-CB2F-585C-C601-1BBCBB3EC3D8}"/>
            </a:ext>
          </a:extLst>
        </xdr:cNvPr>
        <xdr:cNvPicPr>
          <a:picLocks noChangeAspect="1"/>
        </xdr:cNvPicPr>
      </xdr:nvPicPr>
      <xdr:blipFill>
        <a:blip xmlns:r="http://schemas.openxmlformats.org/officeDocument/2006/relationships" r:embed="rId8"/>
        <a:stretch>
          <a:fillRect/>
        </a:stretch>
      </xdr:blipFill>
      <xdr:spPr>
        <a:xfrm>
          <a:off x="24720177" y="26258347"/>
          <a:ext cx="4636994" cy="523923"/>
        </a:xfrm>
        <a:prstGeom prst="rect">
          <a:avLst/>
        </a:prstGeom>
      </xdr:spPr>
    </xdr:pic>
    <xdr:clientData/>
  </xdr:twoCellAnchor>
  <xdr:twoCellAnchor editAs="oneCell">
    <xdr:from>
      <xdr:col>43</xdr:col>
      <xdr:colOff>120464</xdr:colOff>
      <xdr:row>121</xdr:row>
      <xdr:rowOff>79001</xdr:rowOff>
    </xdr:from>
    <xdr:to>
      <xdr:col>45</xdr:col>
      <xdr:colOff>740148</xdr:colOff>
      <xdr:row>123</xdr:row>
      <xdr:rowOff>139203</xdr:rowOff>
    </xdr:to>
    <xdr:pic>
      <xdr:nvPicPr>
        <xdr:cNvPr id="23" name="Picture 22">
          <a:extLst>
            <a:ext uri="{FF2B5EF4-FFF2-40B4-BE49-F238E27FC236}">
              <a16:creationId xmlns:a16="http://schemas.microsoft.com/office/drawing/2014/main" id="{4508CC6C-F9AE-436A-6C1F-979F8402135B}"/>
            </a:ext>
          </a:extLst>
        </xdr:cNvPr>
        <xdr:cNvPicPr>
          <a:picLocks noChangeAspect="1"/>
        </xdr:cNvPicPr>
      </xdr:nvPicPr>
      <xdr:blipFill>
        <a:blip xmlns:r="http://schemas.openxmlformats.org/officeDocument/2006/relationships" r:embed="rId9"/>
        <a:stretch>
          <a:fillRect/>
        </a:stretch>
      </xdr:blipFill>
      <xdr:spPr>
        <a:xfrm>
          <a:off x="61775229" y="28956560"/>
          <a:ext cx="2322978" cy="441202"/>
        </a:xfrm>
        <a:prstGeom prst="rect">
          <a:avLst/>
        </a:prstGeom>
      </xdr:spPr>
    </xdr:pic>
    <xdr:clientData/>
  </xdr:twoCellAnchor>
  <xdr:twoCellAnchor editAs="oneCell">
    <xdr:from>
      <xdr:col>34</xdr:col>
      <xdr:colOff>22413</xdr:colOff>
      <xdr:row>115</xdr:row>
      <xdr:rowOff>168088</xdr:rowOff>
    </xdr:from>
    <xdr:to>
      <xdr:col>37</xdr:col>
      <xdr:colOff>983398</xdr:colOff>
      <xdr:row>118</xdr:row>
      <xdr:rowOff>682590</xdr:rowOff>
    </xdr:to>
    <xdr:pic>
      <xdr:nvPicPr>
        <xdr:cNvPr id="6" name="Picture 5">
          <a:extLst>
            <a:ext uri="{FF2B5EF4-FFF2-40B4-BE49-F238E27FC236}">
              <a16:creationId xmlns:a16="http://schemas.microsoft.com/office/drawing/2014/main" id="{CE9E8744-AA32-7C63-57CD-E55CC2980012}"/>
            </a:ext>
          </a:extLst>
        </xdr:cNvPr>
        <xdr:cNvPicPr>
          <a:picLocks noChangeAspect="1"/>
        </xdr:cNvPicPr>
      </xdr:nvPicPr>
      <xdr:blipFill>
        <a:blip xmlns:r="http://schemas.openxmlformats.org/officeDocument/2006/relationships" r:embed="rId10"/>
        <a:stretch>
          <a:fillRect/>
        </a:stretch>
      </xdr:blipFill>
      <xdr:spPr>
        <a:xfrm>
          <a:off x="24753795" y="27140647"/>
          <a:ext cx="4591691" cy="1086002"/>
        </a:xfrm>
        <a:prstGeom prst="rect">
          <a:avLst/>
        </a:prstGeom>
      </xdr:spPr>
    </xdr:pic>
    <xdr:clientData/>
  </xdr:twoCellAnchor>
  <xdr:twoCellAnchor editAs="oneCell">
    <xdr:from>
      <xdr:col>34</xdr:col>
      <xdr:colOff>78442</xdr:colOff>
      <xdr:row>120</xdr:row>
      <xdr:rowOff>11205</xdr:rowOff>
    </xdr:from>
    <xdr:to>
      <xdr:col>37</xdr:col>
      <xdr:colOff>493059</xdr:colOff>
      <xdr:row>124</xdr:row>
      <xdr:rowOff>186755</xdr:rowOff>
    </xdr:to>
    <xdr:pic>
      <xdr:nvPicPr>
        <xdr:cNvPr id="7" name="Picture 6">
          <a:extLst>
            <a:ext uri="{FF2B5EF4-FFF2-40B4-BE49-F238E27FC236}">
              <a16:creationId xmlns:a16="http://schemas.microsoft.com/office/drawing/2014/main" id="{F98F09F2-9AAE-07C0-38CC-7EF38A572131}"/>
            </a:ext>
          </a:extLst>
        </xdr:cNvPr>
        <xdr:cNvPicPr>
          <a:picLocks noChangeAspect="1"/>
        </xdr:cNvPicPr>
      </xdr:nvPicPr>
      <xdr:blipFill>
        <a:blip xmlns:r="http://schemas.openxmlformats.org/officeDocument/2006/relationships" r:embed="rId11"/>
        <a:stretch>
          <a:fillRect/>
        </a:stretch>
      </xdr:blipFill>
      <xdr:spPr>
        <a:xfrm>
          <a:off x="24809824" y="28619823"/>
          <a:ext cx="4045323" cy="1015991"/>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0.58437</cdr:x>
      <cdr:y>0.19405</cdr:y>
    </cdr:from>
    <cdr:to>
      <cdr:x>0.83353</cdr:x>
      <cdr:y>0.2952</cdr:y>
    </cdr:to>
    <cdr:sp macro="" textlink="">
      <cdr:nvSpPr>
        <cdr:cNvPr id="2" name="TextBox 1">
          <a:extLst xmlns:a="http://schemas.openxmlformats.org/drawingml/2006/main">
            <a:ext uri="{FF2B5EF4-FFF2-40B4-BE49-F238E27FC236}">
              <a16:creationId xmlns:a16="http://schemas.microsoft.com/office/drawing/2014/main" id="{C6D9DD4A-6415-8A40-9CE8-282EA7B98C46}"/>
            </a:ext>
          </a:extLst>
        </cdr:cNvPr>
        <cdr:cNvSpPr txBox="1"/>
      </cdr:nvSpPr>
      <cdr:spPr>
        <a:xfrm xmlns:a="http://schemas.openxmlformats.org/drawingml/2006/main">
          <a:off x="3521026" y="964681"/>
          <a:ext cx="1501274" cy="5028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3200"/>
            <a:t>SIL 3</a:t>
          </a:r>
        </a:p>
      </cdr:txBody>
    </cdr:sp>
  </cdr:relSizeAnchor>
  <cdr:relSizeAnchor xmlns:cdr="http://schemas.openxmlformats.org/drawingml/2006/chartDrawing">
    <cdr:from>
      <cdr:x>0.62141</cdr:x>
      <cdr:y>0.17688</cdr:y>
    </cdr:from>
    <cdr:to>
      <cdr:x>0.62141</cdr:x>
      <cdr:y>0.32955</cdr:y>
    </cdr:to>
    <cdr:cxnSp macro="">
      <cdr:nvCxnSpPr>
        <cdr:cNvPr id="4" name="Straight Arrow Connector 3">
          <a:extLst xmlns:a="http://schemas.openxmlformats.org/drawingml/2006/main">
            <a:ext uri="{FF2B5EF4-FFF2-40B4-BE49-F238E27FC236}">
              <a16:creationId xmlns:a16="http://schemas.microsoft.com/office/drawing/2014/main" id="{2BC8C311-3DDE-88C8-BC6D-B9A4B293DEE4}"/>
            </a:ext>
          </a:extLst>
        </cdr:cNvPr>
        <cdr:cNvCxnSpPr/>
      </cdr:nvCxnSpPr>
      <cdr:spPr>
        <a:xfrm xmlns:a="http://schemas.openxmlformats.org/drawingml/2006/main">
          <a:off x="3744204" y="879323"/>
          <a:ext cx="0" cy="758975"/>
        </a:xfrm>
        <a:prstGeom xmlns:a="http://schemas.openxmlformats.org/drawingml/2006/main" prst="straightConnector1">
          <a:avLst/>
        </a:prstGeom>
        <a:ln xmlns:a="http://schemas.openxmlformats.org/drawingml/2006/main" w="12700">
          <a:solidFill>
            <a:schemeClr val="tx1"/>
          </a:solidFill>
          <a:headEnd type="triangle" w="med" len="lg"/>
          <a:tailEnd type="triangle" w="med"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0.58493</cdr:x>
      <cdr:y>0.34736</cdr:y>
    </cdr:from>
    <cdr:to>
      <cdr:x>0.83409</cdr:x>
      <cdr:y>0.44851</cdr:y>
    </cdr:to>
    <cdr:sp macro="" textlink="">
      <cdr:nvSpPr>
        <cdr:cNvPr id="5" name="TextBox 1">
          <a:extLst xmlns:a="http://schemas.openxmlformats.org/drawingml/2006/main">
            <a:ext uri="{FF2B5EF4-FFF2-40B4-BE49-F238E27FC236}">
              <a16:creationId xmlns:a16="http://schemas.microsoft.com/office/drawing/2014/main" id="{3DB78A7F-184F-1A64-E2D8-61535DC886B3}"/>
            </a:ext>
          </a:extLst>
        </cdr:cNvPr>
        <cdr:cNvSpPr txBox="1"/>
      </cdr:nvSpPr>
      <cdr:spPr>
        <a:xfrm xmlns:a="http://schemas.openxmlformats.org/drawingml/2006/main">
          <a:off x="3524400" y="1726838"/>
          <a:ext cx="1501274" cy="502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3200"/>
            <a:t>SIL 2</a:t>
          </a:r>
        </a:p>
      </cdr:txBody>
    </cdr:sp>
  </cdr:relSizeAnchor>
  <cdr:relSizeAnchor xmlns:cdr="http://schemas.openxmlformats.org/drawingml/2006/chartDrawing">
    <cdr:from>
      <cdr:x>0.62197</cdr:x>
      <cdr:y>0.33718</cdr:y>
    </cdr:from>
    <cdr:to>
      <cdr:x>0.62197</cdr:x>
      <cdr:y>0.48985</cdr:y>
    </cdr:to>
    <cdr:cxnSp macro="">
      <cdr:nvCxnSpPr>
        <cdr:cNvPr id="6" name="Straight Arrow Connector 5">
          <a:extLst xmlns:a="http://schemas.openxmlformats.org/drawingml/2006/main">
            <a:ext uri="{FF2B5EF4-FFF2-40B4-BE49-F238E27FC236}">
              <a16:creationId xmlns:a16="http://schemas.microsoft.com/office/drawing/2014/main" id="{1B774553-065D-3F85-C78B-F9AE2B8A51CE}"/>
            </a:ext>
          </a:extLst>
        </cdr:cNvPr>
        <cdr:cNvCxnSpPr/>
      </cdr:nvCxnSpPr>
      <cdr:spPr>
        <a:xfrm xmlns:a="http://schemas.openxmlformats.org/drawingml/2006/main">
          <a:off x="3747579" y="1676229"/>
          <a:ext cx="0" cy="758975"/>
        </a:xfrm>
        <a:prstGeom xmlns:a="http://schemas.openxmlformats.org/drawingml/2006/main" prst="straightConnector1">
          <a:avLst/>
        </a:prstGeom>
        <a:ln xmlns:a="http://schemas.openxmlformats.org/drawingml/2006/main" w="12700">
          <a:solidFill>
            <a:schemeClr val="tx1"/>
          </a:solidFill>
          <a:headEnd type="triangle" w="med" len="lg"/>
          <a:tailEnd type="triangle" w="med"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0.58493</cdr:x>
      <cdr:y>0.50003</cdr:y>
    </cdr:from>
    <cdr:to>
      <cdr:x>0.83409</cdr:x>
      <cdr:y>0.60118</cdr:y>
    </cdr:to>
    <cdr:sp macro="" textlink="">
      <cdr:nvSpPr>
        <cdr:cNvPr id="7" name="TextBox 1">
          <a:extLst xmlns:a="http://schemas.openxmlformats.org/drawingml/2006/main">
            <a:ext uri="{FF2B5EF4-FFF2-40B4-BE49-F238E27FC236}">
              <a16:creationId xmlns:a16="http://schemas.microsoft.com/office/drawing/2014/main" id="{3DB78A7F-184F-1A64-E2D8-61535DC886B3}"/>
            </a:ext>
          </a:extLst>
        </cdr:cNvPr>
        <cdr:cNvSpPr txBox="1"/>
      </cdr:nvSpPr>
      <cdr:spPr>
        <a:xfrm xmlns:a="http://schemas.openxmlformats.org/drawingml/2006/main">
          <a:off x="3524400" y="2485812"/>
          <a:ext cx="1501274" cy="502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3200"/>
            <a:t>SIL 1</a:t>
          </a:r>
        </a:p>
      </cdr:txBody>
    </cdr:sp>
  </cdr:relSizeAnchor>
  <cdr:relSizeAnchor xmlns:cdr="http://schemas.openxmlformats.org/drawingml/2006/chartDrawing">
    <cdr:from>
      <cdr:x>0.62319</cdr:x>
      <cdr:y>0.48985</cdr:y>
    </cdr:from>
    <cdr:to>
      <cdr:x>0.62319</cdr:x>
      <cdr:y>0.64253</cdr:y>
    </cdr:to>
    <cdr:cxnSp macro="">
      <cdr:nvCxnSpPr>
        <cdr:cNvPr id="8" name="Straight Arrow Connector 7">
          <a:extLst xmlns:a="http://schemas.openxmlformats.org/drawingml/2006/main">
            <a:ext uri="{FF2B5EF4-FFF2-40B4-BE49-F238E27FC236}">
              <a16:creationId xmlns:a16="http://schemas.microsoft.com/office/drawing/2014/main" id="{1B774553-065D-3F85-C78B-F9AE2B8A51CE}"/>
            </a:ext>
          </a:extLst>
        </cdr:cNvPr>
        <cdr:cNvCxnSpPr/>
      </cdr:nvCxnSpPr>
      <cdr:spPr>
        <a:xfrm xmlns:a="http://schemas.openxmlformats.org/drawingml/2006/main">
          <a:off x="3754906" y="2435204"/>
          <a:ext cx="0" cy="759025"/>
        </a:xfrm>
        <a:prstGeom xmlns:a="http://schemas.openxmlformats.org/drawingml/2006/main" prst="straightConnector1">
          <a:avLst/>
        </a:prstGeom>
        <a:ln xmlns:a="http://schemas.openxmlformats.org/drawingml/2006/main" w="12700">
          <a:solidFill>
            <a:schemeClr val="tx1"/>
          </a:solidFill>
          <a:headEnd type="triangle" w="med" len="lg"/>
          <a:tailEnd type="triangle" w="med"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0.66169</cdr:x>
      <cdr:y>0.03297</cdr:y>
    </cdr:from>
    <cdr:to>
      <cdr:x>0.92042</cdr:x>
      <cdr:y>0.09782</cdr:y>
    </cdr:to>
    <cdr:sp macro="" textlink="">
      <cdr:nvSpPr>
        <cdr:cNvPr id="3" name="TextBox 2">
          <a:extLst xmlns:a="http://schemas.openxmlformats.org/drawingml/2006/main">
            <a:ext uri="{FF2B5EF4-FFF2-40B4-BE49-F238E27FC236}">
              <a16:creationId xmlns:a16="http://schemas.microsoft.com/office/drawing/2014/main" id="{51261C25-9FA5-391D-8F4B-F7E374F2F1B5}"/>
            </a:ext>
          </a:extLst>
        </cdr:cNvPr>
        <cdr:cNvSpPr txBox="1"/>
      </cdr:nvSpPr>
      <cdr:spPr>
        <a:xfrm xmlns:a="http://schemas.openxmlformats.org/drawingml/2006/main">
          <a:off x="3847169" y="166335"/>
          <a:ext cx="1504280" cy="327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800"/>
            <a:t>Uncertainty</a:t>
          </a:r>
        </a:p>
      </cdr:txBody>
    </cdr:sp>
  </cdr:relSizeAnchor>
</c:userShapes>
</file>

<file path=xl/drawings/drawing6.xml><?xml version="1.0" encoding="utf-8"?>
<xdr:wsDr xmlns:xdr="http://schemas.openxmlformats.org/drawingml/2006/spreadsheetDrawing" xmlns:a="http://schemas.openxmlformats.org/drawingml/2006/main">
  <xdr:twoCellAnchor>
    <xdr:from>
      <xdr:col>33</xdr:col>
      <xdr:colOff>786849</xdr:colOff>
      <xdr:row>121</xdr:row>
      <xdr:rowOff>173933</xdr:rowOff>
    </xdr:from>
    <xdr:to>
      <xdr:col>39</xdr:col>
      <xdr:colOff>447261</xdr:colOff>
      <xdr:row>124</xdr:row>
      <xdr:rowOff>52172</xdr:rowOff>
    </xdr:to>
    <xdr:sp macro="" textlink="">
      <xdr:nvSpPr>
        <xdr:cNvPr id="2" name="TextBox 4">
          <a:extLst>
            <a:ext uri="{FF2B5EF4-FFF2-40B4-BE49-F238E27FC236}">
              <a16:creationId xmlns:a16="http://schemas.microsoft.com/office/drawing/2014/main" id="{D45D6252-18F3-42F4-9B9B-A34FF4970115}"/>
            </a:ext>
          </a:extLst>
        </xdr:cNvPr>
        <xdr:cNvSpPr txBox="1"/>
      </xdr:nvSpPr>
      <xdr:spPr>
        <a:xfrm>
          <a:off x="26305566" y="29428107"/>
          <a:ext cx="3627782" cy="44973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umimoji="1" sz="3200" kern="1200">
              <a:solidFill>
                <a:schemeClr val="tx1"/>
              </a:solidFill>
              <a:latin typeface="Arial" charset="0"/>
              <a:ea typeface="+mn-ea"/>
              <a:cs typeface="+mn-cs"/>
            </a:defRPr>
          </a:lvl1pPr>
          <a:lvl2pPr marL="457200" algn="l" rtl="0" eaLnBrk="0" fontAlgn="base" hangingPunct="0">
            <a:spcBef>
              <a:spcPct val="0"/>
            </a:spcBef>
            <a:spcAft>
              <a:spcPct val="0"/>
            </a:spcAft>
            <a:defRPr kumimoji="1" sz="3200" kern="1200">
              <a:solidFill>
                <a:schemeClr val="tx1"/>
              </a:solidFill>
              <a:latin typeface="Arial" charset="0"/>
              <a:ea typeface="+mn-ea"/>
              <a:cs typeface="+mn-cs"/>
            </a:defRPr>
          </a:lvl2pPr>
          <a:lvl3pPr marL="914400" algn="l" rtl="0" eaLnBrk="0" fontAlgn="base" hangingPunct="0">
            <a:spcBef>
              <a:spcPct val="0"/>
            </a:spcBef>
            <a:spcAft>
              <a:spcPct val="0"/>
            </a:spcAft>
            <a:defRPr kumimoji="1" sz="3200" kern="1200">
              <a:solidFill>
                <a:schemeClr val="tx1"/>
              </a:solidFill>
              <a:latin typeface="Arial" charset="0"/>
              <a:ea typeface="+mn-ea"/>
              <a:cs typeface="+mn-cs"/>
            </a:defRPr>
          </a:lvl3pPr>
          <a:lvl4pPr marL="1371600" algn="l" rtl="0" eaLnBrk="0" fontAlgn="base" hangingPunct="0">
            <a:spcBef>
              <a:spcPct val="0"/>
            </a:spcBef>
            <a:spcAft>
              <a:spcPct val="0"/>
            </a:spcAft>
            <a:defRPr kumimoji="1" sz="3200" kern="1200">
              <a:solidFill>
                <a:schemeClr val="tx1"/>
              </a:solidFill>
              <a:latin typeface="Arial" charset="0"/>
              <a:ea typeface="+mn-ea"/>
              <a:cs typeface="+mn-cs"/>
            </a:defRPr>
          </a:lvl4pPr>
          <a:lvl5pPr marL="1828800" algn="l" rtl="0" eaLnBrk="0" fontAlgn="base" hangingPunct="0">
            <a:spcBef>
              <a:spcPct val="0"/>
            </a:spcBef>
            <a:spcAft>
              <a:spcPct val="0"/>
            </a:spcAft>
            <a:defRPr kumimoji="1" sz="3200" kern="1200">
              <a:solidFill>
                <a:schemeClr val="tx1"/>
              </a:solidFill>
              <a:latin typeface="Arial" charset="0"/>
              <a:ea typeface="+mn-ea"/>
              <a:cs typeface="+mn-cs"/>
            </a:defRPr>
          </a:lvl5pPr>
          <a:lvl6pPr marL="2286000" algn="l" defTabSz="914400" rtl="0" eaLnBrk="1" latinLnBrk="0" hangingPunct="1">
            <a:defRPr kumimoji="1" sz="3200" kern="1200">
              <a:solidFill>
                <a:schemeClr val="tx1"/>
              </a:solidFill>
              <a:latin typeface="Arial" charset="0"/>
              <a:ea typeface="+mn-ea"/>
              <a:cs typeface="+mn-cs"/>
            </a:defRPr>
          </a:lvl6pPr>
          <a:lvl7pPr marL="2743200" algn="l" defTabSz="914400" rtl="0" eaLnBrk="1" latinLnBrk="0" hangingPunct="1">
            <a:defRPr kumimoji="1" sz="3200" kern="1200">
              <a:solidFill>
                <a:schemeClr val="tx1"/>
              </a:solidFill>
              <a:latin typeface="Arial" charset="0"/>
              <a:ea typeface="+mn-ea"/>
              <a:cs typeface="+mn-cs"/>
            </a:defRPr>
          </a:lvl7pPr>
          <a:lvl8pPr marL="3200400" algn="l" defTabSz="914400" rtl="0" eaLnBrk="1" latinLnBrk="0" hangingPunct="1">
            <a:defRPr kumimoji="1" sz="3200" kern="1200">
              <a:solidFill>
                <a:schemeClr val="tx1"/>
              </a:solidFill>
              <a:latin typeface="Arial" charset="0"/>
              <a:ea typeface="+mn-ea"/>
              <a:cs typeface="+mn-cs"/>
            </a:defRPr>
          </a:lvl8pPr>
          <a:lvl9pPr marL="3657600" algn="l" defTabSz="914400" rtl="0" eaLnBrk="1" latinLnBrk="0" hangingPunct="1">
            <a:defRPr kumimoji="1" sz="3200" kern="1200">
              <a:solidFill>
                <a:schemeClr val="tx1"/>
              </a:solidFill>
              <a:latin typeface="Arial" charset="0"/>
              <a:ea typeface="+mn-ea"/>
              <a:cs typeface="+mn-cs"/>
            </a:defRPr>
          </a:lvl9pPr>
        </a:lstStyle>
        <a:p>
          <a:r>
            <a:rPr lang="en-GB" sz="1200" i="1">
              <a:solidFill>
                <a:srgbClr val="000000"/>
              </a:solidFill>
              <a:latin typeface="Cambria" panose="02040503050406030204" pitchFamily="18" charset="0"/>
              <a:ea typeface="Cambria" panose="02040503050406030204" pitchFamily="18" charset="0"/>
            </a:rPr>
            <a:t>STR</a:t>
          </a:r>
          <a:r>
            <a:rPr lang="en-GB" sz="1200">
              <a:solidFill>
                <a:srgbClr val="000000"/>
              </a:solidFill>
              <a:latin typeface="Cambria" panose="02040503050406030204" pitchFamily="18" charset="0"/>
              <a:ea typeface="Cambria" panose="02040503050406030204" pitchFamily="18" charset="0"/>
            </a:rPr>
            <a:t> = [N! / (N-M)!    . (</a:t>
          </a:r>
          <a:r>
            <a:rPr lang="el-GR" sz="1200" i="1">
              <a:solidFill>
                <a:srgbClr val="000000"/>
              </a:solidFill>
              <a:latin typeface="Cambria" panose="02040503050406030204" pitchFamily="18" charset="0"/>
              <a:ea typeface="Cambria" panose="02040503050406030204" pitchFamily="18" charset="0"/>
            </a:rPr>
            <a:t>λ</a:t>
          </a:r>
          <a:r>
            <a:rPr lang="en-AU" sz="1200" i="1" baseline="-25000">
              <a:solidFill>
                <a:srgbClr val="000000"/>
              </a:solidFill>
              <a:latin typeface="Cambria" panose="02040503050406030204" pitchFamily="18" charset="0"/>
              <a:ea typeface="Cambria" panose="02040503050406030204" pitchFamily="18" charset="0"/>
            </a:rPr>
            <a:t>SU</a:t>
          </a:r>
          <a:r>
            <a:rPr lang="en-GB" sz="1200" i="1">
              <a:solidFill>
                <a:srgbClr val="000000"/>
              </a:solidFill>
              <a:latin typeface="Cambria" panose="02040503050406030204" pitchFamily="18" charset="0"/>
              <a:ea typeface="Cambria" panose="02040503050406030204" pitchFamily="18" charset="0"/>
            </a:rPr>
            <a:t> </a:t>
          </a:r>
          <a:r>
            <a:rPr lang="en-GB" sz="1200">
              <a:solidFill>
                <a:srgbClr val="000000"/>
              </a:solidFill>
              <a:latin typeface="Cambria" panose="02040503050406030204" pitchFamily="18" charset="0"/>
              <a:ea typeface="Cambria" panose="02040503050406030204" pitchFamily="18" charset="0"/>
            </a:rPr>
            <a:t>)</a:t>
          </a:r>
          <a:r>
            <a:rPr lang="en-AU" sz="1200" baseline="30000">
              <a:solidFill>
                <a:srgbClr val="000000"/>
              </a:solidFill>
              <a:latin typeface="Cambria" panose="02040503050406030204" pitchFamily="18" charset="0"/>
              <a:ea typeface="Cambria" panose="02040503050406030204" pitchFamily="18" charset="0"/>
            </a:rPr>
            <a:t>M</a:t>
          </a:r>
          <a:r>
            <a:rPr lang="en-AU" sz="1200">
              <a:solidFill>
                <a:srgbClr val="000000"/>
              </a:solidFill>
              <a:latin typeface="Cambria" panose="02040503050406030204" pitchFamily="18" charset="0"/>
              <a:ea typeface="Cambria" panose="02040503050406030204" pitchFamily="18" charset="0"/>
            </a:rPr>
            <a:t>  </a:t>
          </a:r>
          <a:r>
            <a:rPr lang="en-GB" sz="1200">
              <a:solidFill>
                <a:srgbClr val="000000"/>
              </a:solidFill>
              <a:latin typeface="Cambria" panose="02040503050406030204" pitchFamily="18" charset="0"/>
              <a:ea typeface="Cambria" panose="02040503050406030204" pitchFamily="18" charset="0"/>
            </a:rPr>
            <a:t>. </a:t>
          </a:r>
          <a:r>
            <a:rPr lang="en-GB" sz="1200" i="1">
              <a:solidFill>
                <a:srgbClr val="000000"/>
              </a:solidFill>
              <a:latin typeface="Cambria" panose="02040503050406030204" pitchFamily="18" charset="0"/>
              <a:ea typeface="Cambria" panose="02040503050406030204" pitchFamily="18" charset="0"/>
            </a:rPr>
            <a:t>MTTR</a:t>
          </a:r>
          <a:r>
            <a:rPr lang="en-GB" sz="1200" baseline="30000">
              <a:solidFill>
                <a:srgbClr val="000000"/>
              </a:solidFill>
              <a:latin typeface="Cambria" panose="02040503050406030204" pitchFamily="18" charset="0"/>
              <a:ea typeface="Cambria" panose="02040503050406030204" pitchFamily="18" charset="0"/>
            </a:rPr>
            <a:t>(M-1)</a:t>
          </a:r>
          <a:r>
            <a:rPr lang="en-GB" sz="1200">
              <a:solidFill>
                <a:srgbClr val="000000"/>
              </a:solidFill>
              <a:latin typeface="Cambria" panose="02040503050406030204" pitchFamily="18" charset="0"/>
              <a:ea typeface="Cambria" panose="02040503050406030204" pitchFamily="18" charset="0"/>
            </a:rPr>
            <a:t> ] + </a:t>
          </a:r>
          <a:r>
            <a:rPr lang="en-GB" sz="1200" i="1">
              <a:solidFill>
                <a:srgbClr val="000000"/>
              </a:solidFill>
              <a:latin typeface="Cambria" panose="02040503050406030204" pitchFamily="18" charset="0"/>
              <a:ea typeface="Cambria" panose="02040503050406030204" pitchFamily="18" charset="0"/>
            </a:rPr>
            <a:t>β</a:t>
          </a:r>
          <a:r>
            <a:rPr lang="en-GB" sz="1200">
              <a:solidFill>
                <a:srgbClr val="000000"/>
              </a:solidFill>
              <a:latin typeface="Cambria" panose="02040503050406030204" pitchFamily="18" charset="0"/>
              <a:ea typeface="Cambria" panose="02040503050406030204" pitchFamily="18" charset="0"/>
            </a:rPr>
            <a:t> . (</a:t>
          </a:r>
          <a:r>
            <a:rPr lang="el-GR" sz="1200" i="1">
              <a:solidFill>
                <a:srgbClr val="000000"/>
              </a:solidFill>
              <a:latin typeface="Cambria" panose="02040503050406030204" pitchFamily="18" charset="0"/>
              <a:ea typeface="Cambria" panose="02040503050406030204" pitchFamily="18" charset="0"/>
            </a:rPr>
            <a:t>λ</a:t>
          </a:r>
          <a:r>
            <a:rPr lang="en-AU" sz="1200" i="1" baseline="-25000">
              <a:solidFill>
                <a:srgbClr val="000000"/>
              </a:solidFill>
              <a:latin typeface="Cambria" panose="02040503050406030204" pitchFamily="18" charset="0"/>
              <a:ea typeface="Cambria" panose="02040503050406030204" pitchFamily="18" charset="0"/>
            </a:rPr>
            <a:t>SU</a:t>
          </a:r>
          <a:r>
            <a:rPr lang="en-GB" sz="1200">
              <a:solidFill>
                <a:srgbClr val="000000"/>
              </a:solidFill>
              <a:latin typeface="Cambria" panose="02040503050406030204" pitchFamily="18" charset="0"/>
              <a:ea typeface="Cambria" panose="02040503050406030204" pitchFamily="18" charset="0"/>
            </a:rPr>
            <a:t> )</a:t>
          </a:r>
          <a:endParaRPr lang="en-AU" sz="1200">
            <a:solidFill>
              <a:srgbClr val="000000"/>
            </a:solidFill>
            <a:latin typeface="Cambria" panose="02040503050406030204" pitchFamily="18" charset="0"/>
            <a:ea typeface="Cambria" panose="02040503050406030204" pitchFamily="18" charset="0"/>
          </a:endParaRPr>
        </a:p>
        <a:p>
          <a:endParaRPr lang="en-AU" sz="1200">
            <a:solidFill>
              <a:srgbClr val="000000"/>
            </a:solidFill>
          </a:endParaRPr>
        </a:p>
      </xdr:txBody>
    </xdr:sp>
    <xdr:clientData/>
  </xdr:twoCellAnchor>
  <xdr:twoCellAnchor editAs="oneCell">
    <xdr:from>
      <xdr:col>34</xdr:col>
      <xdr:colOff>667</xdr:colOff>
      <xdr:row>126</xdr:row>
      <xdr:rowOff>96739</xdr:rowOff>
    </xdr:from>
    <xdr:to>
      <xdr:col>35</xdr:col>
      <xdr:colOff>41645</xdr:colOff>
      <xdr:row>126</xdr:row>
      <xdr:rowOff>298173</xdr:rowOff>
    </xdr:to>
    <xdr:pic>
      <xdr:nvPicPr>
        <xdr:cNvPr id="4" name="Picture 3">
          <a:extLst>
            <a:ext uri="{FF2B5EF4-FFF2-40B4-BE49-F238E27FC236}">
              <a16:creationId xmlns:a16="http://schemas.microsoft.com/office/drawing/2014/main" id="{62F56AB0-0587-484A-91B6-F919D90E05D4}"/>
            </a:ext>
          </a:extLst>
        </xdr:cNvPr>
        <xdr:cNvPicPr>
          <a:picLocks noChangeAspect="1"/>
        </xdr:cNvPicPr>
      </xdr:nvPicPr>
      <xdr:blipFill>
        <a:blip xmlns:r="http://schemas.openxmlformats.org/officeDocument/2006/relationships" r:embed="rId1"/>
        <a:stretch>
          <a:fillRect/>
        </a:stretch>
      </xdr:blipFill>
      <xdr:spPr>
        <a:xfrm>
          <a:off x="26422189" y="30303413"/>
          <a:ext cx="653891" cy="201434"/>
        </a:xfrm>
        <a:prstGeom prst="rect">
          <a:avLst/>
        </a:prstGeom>
      </xdr:spPr>
    </xdr:pic>
    <xdr:clientData/>
  </xdr:twoCellAnchor>
  <xdr:twoCellAnchor editAs="oneCell">
    <xdr:from>
      <xdr:col>0</xdr:col>
      <xdr:colOff>114607</xdr:colOff>
      <xdr:row>0</xdr:row>
      <xdr:rowOff>0</xdr:rowOff>
    </xdr:from>
    <xdr:to>
      <xdr:col>0</xdr:col>
      <xdr:colOff>599153</xdr:colOff>
      <xdr:row>0</xdr:row>
      <xdr:rowOff>745408</xdr:rowOff>
    </xdr:to>
    <xdr:pic>
      <xdr:nvPicPr>
        <xdr:cNvPr id="8" name="Picture 7" descr="Ies_clr">
          <a:extLst>
            <a:ext uri="{FF2B5EF4-FFF2-40B4-BE49-F238E27FC236}">
              <a16:creationId xmlns:a16="http://schemas.microsoft.com/office/drawing/2014/main" id="{32EF0FAA-0FF4-4008-BDD9-3CD837FA78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607" y="0"/>
          <a:ext cx="484546" cy="745408"/>
        </a:xfrm>
        <a:prstGeom prst="rect">
          <a:avLst/>
        </a:prstGeom>
        <a:noFill/>
        <a:ln>
          <a:noFill/>
        </a:ln>
      </xdr:spPr>
    </xdr:pic>
    <xdr:clientData/>
  </xdr:twoCellAnchor>
  <xdr:twoCellAnchor>
    <xdr:from>
      <xdr:col>4</xdr:col>
      <xdr:colOff>19050</xdr:colOff>
      <xdr:row>75</xdr:row>
      <xdr:rowOff>133350</xdr:rowOff>
    </xdr:from>
    <xdr:to>
      <xdr:col>4</xdr:col>
      <xdr:colOff>1036996</xdr:colOff>
      <xdr:row>75</xdr:row>
      <xdr:rowOff>138266</xdr:rowOff>
    </xdr:to>
    <xdr:cxnSp macro="">
      <xdr:nvCxnSpPr>
        <xdr:cNvPr id="9" name="Straight Arrow Connector 8">
          <a:extLst>
            <a:ext uri="{FF2B5EF4-FFF2-40B4-BE49-F238E27FC236}">
              <a16:creationId xmlns:a16="http://schemas.microsoft.com/office/drawing/2014/main" id="{3EC68621-344B-4320-BA74-9B677231CCFD}"/>
            </a:ext>
          </a:extLst>
        </xdr:cNvPr>
        <xdr:cNvCxnSpPr/>
      </xdr:nvCxnSpPr>
      <xdr:spPr>
        <a:xfrm>
          <a:off x="3086100" y="18392775"/>
          <a:ext cx="1017946" cy="49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75</xdr:row>
      <xdr:rowOff>123825</xdr:rowOff>
    </xdr:from>
    <xdr:to>
      <xdr:col>7</xdr:col>
      <xdr:colOff>16014</xdr:colOff>
      <xdr:row>75</xdr:row>
      <xdr:rowOff>126586</xdr:rowOff>
    </xdr:to>
    <xdr:cxnSp macro="">
      <xdr:nvCxnSpPr>
        <xdr:cNvPr id="10" name="Straight Arrow Connector 9">
          <a:extLst>
            <a:ext uri="{FF2B5EF4-FFF2-40B4-BE49-F238E27FC236}">
              <a16:creationId xmlns:a16="http://schemas.microsoft.com/office/drawing/2014/main" id="{A1ADB3B6-FEEC-4085-9E8E-C61712394F67}"/>
            </a:ext>
          </a:extLst>
        </xdr:cNvPr>
        <xdr:cNvCxnSpPr/>
      </xdr:nvCxnSpPr>
      <xdr:spPr>
        <a:xfrm>
          <a:off x="5038725" y="18383250"/>
          <a:ext cx="968514" cy="276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75</xdr:row>
      <xdr:rowOff>133350</xdr:rowOff>
    </xdr:from>
    <xdr:to>
      <xdr:col>2</xdr:col>
      <xdr:colOff>589170</xdr:colOff>
      <xdr:row>75</xdr:row>
      <xdr:rowOff>138872</xdr:rowOff>
    </xdr:to>
    <xdr:cxnSp macro="">
      <xdr:nvCxnSpPr>
        <xdr:cNvPr id="11" name="Straight Arrow Connector 10">
          <a:extLst>
            <a:ext uri="{FF2B5EF4-FFF2-40B4-BE49-F238E27FC236}">
              <a16:creationId xmlns:a16="http://schemas.microsoft.com/office/drawing/2014/main" id="{3C651F37-3C98-450F-BE25-1EE847D8D854}"/>
            </a:ext>
          </a:extLst>
        </xdr:cNvPr>
        <xdr:cNvCxnSpPr/>
      </xdr:nvCxnSpPr>
      <xdr:spPr>
        <a:xfrm>
          <a:off x="1276350" y="18392775"/>
          <a:ext cx="941595" cy="5522"/>
        </a:xfrm>
        <a:prstGeom prst="straightConnector1">
          <a:avLst/>
        </a:prstGeom>
        <a:ln w="38100">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10139</xdr:colOff>
      <xdr:row>75</xdr:row>
      <xdr:rowOff>123825</xdr:rowOff>
    </xdr:from>
    <xdr:to>
      <xdr:col>9</xdr:col>
      <xdr:colOff>436659</xdr:colOff>
      <xdr:row>75</xdr:row>
      <xdr:rowOff>129209</xdr:rowOff>
    </xdr:to>
    <xdr:cxnSp macro="">
      <xdr:nvCxnSpPr>
        <xdr:cNvPr id="12" name="Straight Arrow Connector 11">
          <a:extLst>
            <a:ext uri="{FF2B5EF4-FFF2-40B4-BE49-F238E27FC236}">
              <a16:creationId xmlns:a16="http://schemas.microsoft.com/office/drawing/2014/main" id="{603C35BC-EBBE-4F15-A8F8-86B5DF0733E4}"/>
            </a:ext>
          </a:extLst>
        </xdr:cNvPr>
        <xdr:cNvCxnSpPr/>
      </xdr:nvCxnSpPr>
      <xdr:spPr>
        <a:xfrm>
          <a:off x="7049114" y="18383250"/>
          <a:ext cx="1036120" cy="5384"/>
        </a:xfrm>
        <a:prstGeom prst="straightConnector1">
          <a:avLst/>
        </a:prstGeom>
        <a:ln w="38100">
          <a:solidFill>
            <a:schemeClr val="tx1"/>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19050</xdr:colOff>
      <xdr:row>0</xdr:row>
      <xdr:rowOff>276225</xdr:rowOff>
    </xdr:from>
    <xdr:to>
      <xdr:col>1</xdr:col>
      <xdr:colOff>855714</xdr:colOff>
      <xdr:row>0</xdr:row>
      <xdr:rowOff>652001</xdr:rowOff>
    </xdr:to>
    <xdr:pic>
      <xdr:nvPicPr>
        <xdr:cNvPr id="13" name="Picture 12">
          <a:extLst>
            <a:ext uri="{FF2B5EF4-FFF2-40B4-BE49-F238E27FC236}">
              <a16:creationId xmlns:a16="http://schemas.microsoft.com/office/drawing/2014/main" id="{06F541AE-E484-448F-9A17-03D75A728D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1050" y="276225"/>
          <a:ext cx="836664" cy="375776"/>
        </a:xfrm>
        <a:prstGeom prst="rect">
          <a:avLst/>
        </a:prstGeom>
      </xdr:spPr>
    </xdr:pic>
    <xdr:clientData/>
  </xdr:twoCellAnchor>
  <xdr:twoCellAnchor>
    <xdr:from>
      <xdr:col>8</xdr:col>
      <xdr:colOff>80801</xdr:colOff>
      <xdr:row>81</xdr:row>
      <xdr:rowOff>30397</xdr:rowOff>
    </xdr:from>
    <xdr:to>
      <xdr:col>16</xdr:col>
      <xdr:colOff>207972</xdr:colOff>
      <xdr:row>102</xdr:row>
      <xdr:rowOff>164696</xdr:rowOff>
    </xdr:to>
    <xdr:graphicFrame macro="">
      <xdr:nvGraphicFramePr>
        <xdr:cNvPr id="14" name="Chart 13">
          <a:extLst>
            <a:ext uri="{FF2B5EF4-FFF2-40B4-BE49-F238E27FC236}">
              <a16:creationId xmlns:a16="http://schemas.microsoft.com/office/drawing/2014/main" id="{9DF04EE6-9D45-443E-A944-E8E22298A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545060</xdr:colOff>
      <xdr:row>81</xdr:row>
      <xdr:rowOff>95565</xdr:rowOff>
    </xdr:from>
    <xdr:to>
      <xdr:col>13</xdr:col>
      <xdr:colOff>193368</xdr:colOff>
      <xdr:row>82</xdr:row>
      <xdr:rowOff>392146</xdr:rowOff>
    </xdr:to>
    <xdr:sp macro="" textlink="">
      <xdr:nvSpPr>
        <xdr:cNvPr id="15" name="Rectangle 14">
          <a:extLst>
            <a:ext uri="{FF2B5EF4-FFF2-40B4-BE49-F238E27FC236}">
              <a16:creationId xmlns:a16="http://schemas.microsoft.com/office/drawing/2014/main" id="{3DC6A52D-8A13-45DC-AE55-D199AE3F0E8B}"/>
            </a:ext>
          </a:extLst>
        </xdr:cNvPr>
        <xdr:cNvSpPr/>
      </xdr:nvSpPr>
      <xdr:spPr>
        <a:xfrm>
          <a:off x="11022560" y="20031804"/>
          <a:ext cx="600808" cy="536777"/>
        </a:xfrm>
        <a:prstGeom prst="rect">
          <a:avLst/>
        </a:prstGeom>
        <a:gradFill>
          <a:gsLst>
            <a:gs pos="0">
              <a:schemeClr val="accent1">
                <a:lumMod val="0"/>
                <a:lumOff val="100000"/>
              </a:schemeClr>
            </a:gs>
            <a:gs pos="42000">
              <a:schemeClr val="accent1">
                <a:lumMod val="45000"/>
                <a:lumOff val="55000"/>
              </a:schemeClr>
            </a:gs>
            <a:gs pos="58000">
              <a:schemeClr val="accent1">
                <a:lumMod val="75000"/>
                <a:lumOff val="25000"/>
              </a:schemeClr>
            </a:gs>
            <a:gs pos="100000">
              <a:schemeClr val="accent1">
                <a:lumMod val="0"/>
                <a:lumOff val="10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886239</xdr:colOff>
      <xdr:row>96</xdr:row>
      <xdr:rowOff>115957</xdr:rowOff>
    </xdr:from>
    <xdr:to>
      <xdr:col>11</xdr:col>
      <xdr:colOff>455543</xdr:colOff>
      <xdr:row>110</xdr:row>
      <xdr:rowOff>134179</xdr:rowOff>
    </xdr:to>
    <xdr:graphicFrame macro="">
      <xdr:nvGraphicFramePr>
        <xdr:cNvPr id="5" name="Chart 4">
          <a:extLst>
            <a:ext uri="{FF2B5EF4-FFF2-40B4-BE49-F238E27FC236}">
              <a16:creationId xmlns:a16="http://schemas.microsoft.com/office/drawing/2014/main" id="{E4D63BC8-FE4B-49C0-BB39-01A9D263D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28</xdr:col>
      <xdr:colOff>140805</xdr:colOff>
      <xdr:row>126</xdr:row>
      <xdr:rowOff>124239</xdr:rowOff>
    </xdr:from>
    <xdr:to>
      <xdr:col>28</xdr:col>
      <xdr:colOff>776791</xdr:colOff>
      <xdr:row>126</xdr:row>
      <xdr:rowOff>538369</xdr:rowOff>
    </xdr:to>
    <xdr:pic>
      <xdr:nvPicPr>
        <xdr:cNvPr id="16" name="Picture 15">
          <a:extLst>
            <a:ext uri="{FF2B5EF4-FFF2-40B4-BE49-F238E27FC236}">
              <a16:creationId xmlns:a16="http://schemas.microsoft.com/office/drawing/2014/main" id="{0C4B887C-5DED-1A09-83BD-E09371CA8DFA}"/>
            </a:ext>
          </a:extLst>
        </xdr:cNvPr>
        <xdr:cNvPicPr>
          <a:picLocks noChangeAspect="1"/>
        </xdr:cNvPicPr>
      </xdr:nvPicPr>
      <xdr:blipFill>
        <a:blip xmlns:r="http://schemas.openxmlformats.org/officeDocument/2006/relationships" r:embed="rId6"/>
        <a:stretch>
          <a:fillRect/>
        </a:stretch>
      </xdr:blipFill>
      <xdr:spPr>
        <a:xfrm>
          <a:off x="22106283" y="30330913"/>
          <a:ext cx="635986" cy="414130"/>
        </a:xfrm>
        <a:prstGeom prst="rect">
          <a:avLst/>
        </a:prstGeom>
      </xdr:spPr>
    </xdr:pic>
    <xdr:clientData/>
  </xdr:twoCellAnchor>
  <xdr:twoCellAnchor editAs="oneCell">
    <xdr:from>
      <xdr:col>26</xdr:col>
      <xdr:colOff>182218</xdr:colOff>
      <xdr:row>119</xdr:row>
      <xdr:rowOff>226597</xdr:rowOff>
    </xdr:from>
    <xdr:to>
      <xdr:col>33</xdr:col>
      <xdr:colOff>207069</xdr:colOff>
      <xdr:row>123</xdr:row>
      <xdr:rowOff>8146</xdr:rowOff>
    </xdr:to>
    <xdr:pic>
      <xdr:nvPicPr>
        <xdr:cNvPr id="17" name="Picture 16">
          <a:extLst>
            <a:ext uri="{FF2B5EF4-FFF2-40B4-BE49-F238E27FC236}">
              <a16:creationId xmlns:a16="http://schemas.microsoft.com/office/drawing/2014/main" id="{F622B846-EBEF-C2DA-AC1A-82619E292A2C}"/>
            </a:ext>
          </a:extLst>
        </xdr:cNvPr>
        <xdr:cNvPicPr>
          <a:picLocks noChangeAspect="1"/>
        </xdr:cNvPicPr>
      </xdr:nvPicPr>
      <xdr:blipFill>
        <a:blip xmlns:r="http://schemas.openxmlformats.org/officeDocument/2006/relationships" r:embed="rId7"/>
        <a:stretch>
          <a:fillRect/>
        </a:stretch>
      </xdr:blipFill>
      <xdr:spPr>
        <a:xfrm>
          <a:off x="20921870" y="29025227"/>
          <a:ext cx="4803916" cy="618093"/>
        </a:xfrm>
        <a:prstGeom prst="rect">
          <a:avLst/>
        </a:prstGeom>
      </xdr:spPr>
    </xdr:pic>
    <xdr:clientData/>
  </xdr:twoCellAnchor>
  <xdr:twoCellAnchor editAs="oneCell">
    <xdr:from>
      <xdr:col>12</xdr:col>
      <xdr:colOff>190500</xdr:colOff>
      <xdr:row>0</xdr:row>
      <xdr:rowOff>57978</xdr:rowOff>
    </xdr:from>
    <xdr:to>
      <xdr:col>14</xdr:col>
      <xdr:colOff>688699</xdr:colOff>
      <xdr:row>0</xdr:row>
      <xdr:rowOff>554548</xdr:rowOff>
    </xdr:to>
    <xdr:pic>
      <xdr:nvPicPr>
        <xdr:cNvPr id="3" name="Picture 2" descr="A picture containing text, font, screenshot&#10;&#10;Description automatically generated">
          <a:extLst>
            <a:ext uri="{FF2B5EF4-FFF2-40B4-BE49-F238E27FC236}">
              <a16:creationId xmlns:a16="http://schemas.microsoft.com/office/drawing/2014/main" id="{A10CECDF-1262-1542-B013-D891071583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668000" y="57978"/>
          <a:ext cx="2295525" cy="49657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0.58437</cdr:x>
      <cdr:y>0.19405</cdr:y>
    </cdr:from>
    <cdr:to>
      <cdr:x>0.83353</cdr:x>
      <cdr:y>0.2952</cdr:y>
    </cdr:to>
    <cdr:sp macro="" textlink="">
      <cdr:nvSpPr>
        <cdr:cNvPr id="2" name="TextBox 1">
          <a:extLst xmlns:a="http://schemas.openxmlformats.org/drawingml/2006/main">
            <a:ext uri="{FF2B5EF4-FFF2-40B4-BE49-F238E27FC236}">
              <a16:creationId xmlns:a16="http://schemas.microsoft.com/office/drawing/2014/main" id="{C6D9DD4A-6415-8A40-9CE8-282EA7B98C46}"/>
            </a:ext>
          </a:extLst>
        </cdr:cNvPr>
        <cdr:cNvSpPr txBox="1"/>
      </cdr:nvSpPr>
      <cdr:spPr>
        <a:xfrm xmlns:a="http://schemas.openxmlformats.org/drawingml/2006/main">
          <a:off x="3521026" y="964681"/>
          <a:ext cx="1501274" cy="5028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3200"/>
            <a:t>SIL 1</a:t>
          </a:r>
        </a:p>
      </cdr:txBody>
    </cdr:sp>
  </cdr:relSizeAnchor>
  <cdr:relSizeAnchor xmlns:cdr="http://schemas.openxmlformats.org/drawingml/2006/chartDrawing">
    <cdr:from>
      <cdr:x>0.61688</cdr:x>
      <cdr:y>0.17542</cdr:y>
    </cdr:from>
    <cdr:to>
      <cdr:x>0.61739</cdr:x>
      <cdr:y>0.37983</cdr:y>
    </cdr:to>
    <cdr:cxnSp macro="">
      <cdr:nvCxnSpPr>
        <cdr:cNvPr id="4" name="Straight Arrow Connector 3">
          <a:extLst xmlns:a="http://schemas.openxmlformats.org/drawingml/2006/main">
            <a:ext uri="{FF2B5EF4-FFF2-40B4-BE49-F238E27FC236}">
              <a16:creationId xmlns:a16="http://schemas.microsoft.com/office/drawing/2014/main" id="{2BC8C311-3DDE-88C8-BC6D-B9A4B293DEE4}"/>
            </a:ext>
          </a:extLst>
        </cdr:cNvPr>
        <cdr:cNvCxnSpPr/>
      </cdr:nvCxnSpPr>
      <cdr:spPr>
        <a:xfrm xmlns:a="http://schemas.openxmlformats.org/drawingml/2006/main">
          <a:off x="4150816" y="881076"/>
          <a:ext cx="3445" cy="1026658"/>
        </a:xfrm>
        <a:prstGeom xmlns:a="http://schemas.openxmlformats.org/drawingml/2006/main" prst="straightConnector1">
          <a:avLst/>
        </a:prstGeom>
        <a:ln xmlns:a="http://schemas.openxmlformats.org/drawingml/2006/main" w="12700">
          <a:solidFill>
            <a:schemeClr val="tx1"/>
          </a:solidFill>
          <a:headEnd type="triangle" w="med" len="lg"/>
          <a:tailEnd type="triangle" w="med"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0.58493</cdr:x>
      <cdr:y>0.34736</cdr:y>
    </cdr:from>
    <cdr:to>
      <cdr:x>0.83409</cdr:x>
      <cdr:y>0.44851</cdr:y>
    </cdr:to>
    <cdr:sp macro="" textlink="">
      <cdr:nvSpPr>
        <cdr:cNvPr id="5" name="TextBox 1">
          <a:extLst xmlns:a="http://schemas.openxmlformats.org/drawingml/2006/main">
            <a:ext uri="{FF2B5EF4-FFF2-40B4-BE49-F238E27FC236}">
              <a16:creationId xmlns:a16="http://schemas.microsoft.com/office/drawing/2014/main" id="{3DB78A7F-184F-1A64-E2D8-61535DC886B3}"/>
            </a:ext>
          </a:extLst>
        </cdr:cNvPr>
        <cdr:cNvSpPr txBox="1"/>
      </cdr:nvSpPr>
      <cdr:spPr>
        <a:xfrm xmlns:a="http://schemas.openxmlformats.org/drawingml/2006/main">
          <a:off x="3524400" y="1726838"/>
          <a:ext cx="1501274" cy="502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3200"/>
            <a:t>SIL 2</a:t>
          </a:r>
        </a:p>
      </cdr:txBody>
    </cdr:sp>
  </cdr:relSizeAnchor>
  <cdr:relSizeAnchor xmlns:cdr="http://schemas.openxmlformats.org/drawingml/2006/chartDrawing">
    <cdr:from>
      <cdr:x>0.61662</cdr:x>
      <cdr:y>0.37948</cdr:y>
    </cdr:from>
    <cdr:to>
      <cdr:x>0.61766</cdr:x>
      <cdr:y>0.5753</cdr:y>
    </cdr:to>
    <cdr:cxnSp macro="">
      <cdr:nvCxnSpPr>
        <cdr:cNvPr id="6" name="Straight Arrow Connector 5">
          <a:extLst xmlns:a="http://schemas.openxmlformats.org/drawingml/2006/main">
            <a:ext uri="{FF2B5EF4-FFF2-40B4-BE49-F238E27FC236}">
              <a16:creationId xmlns:a16="http://schemas.microsoft.com/office/drawing/2014/main" id="{1B774553-065D-3F85-C78B-F9AE2B8A51CE}"/>
            </a:ext>
          </a:extLst>
        </cdr:cNvPr>
        <cdr:cNvCxnSpPr/>
      </cdr:nvCxnSpPr>
      <cdr:spPr>
        <a:xfrm xmlns:a="http://schemas.openxmlformats.org/drawingml/2006/main">
          <a:off x="4149037" y="1906012"/>
          <a:ext cx="7002" cy="983530"/>
        </a:xfrm>
        <a:prstGeom xmlns:a="http://schemas.openxmlformats.org/drawingml/2006/main" prst="straightConnector1">
          <a:avLst/>
        </a:prstGeom>
        <a:ln xmlns:a="http://schemas.openxmlformats.org/drawingml/2006/main" w="12700">
          <a:solidFill>
            <a:schemeClr val="tx1"/>
          </a:solidFill>
          <a:headEnd type="triangle" w="med" len="lg"/>
          <a:tailEnd type="triangle" w="med"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0.58493</cdr:x>
      <cdr:y>0.50003</cdr:y>
    </cdr:from>
    <cdr:to>
      <cdr:x>0.83409</cdr:x>
      <cdr:y>0.60118</cdr:y>
    </cdr:to>
    <cdr:sp macro="" textlink="">
      <cdr:nvSpPr>
        <cdr:cNvPr id="7" name="TextBox 1">
          <a:extLst xmlns:a="http://schemas.openxmlformats.org/drawingml/2006/main">
            <a:ext uri="{FF2B5EF4-FFF2-40B4-BE49-F238E27FC236}">
              <a16:creationId xmlns:a16="http://schemas.microsoft.com/office/drawing/2014/main" id="{3DB78A7F-184F-1A64-E2D8-61535DC886B3}"/>
            </a:ext>
          </a:extLst>
        </cdr:cNvPr>
        <cdr:cNvSpPr txBox="1"/>
      </cdr:nvSpPr>
      <cdr:spPr>
        <a:xfrm xmlns:a="http://schemas.openxmlformats.org/drawingml/2006/main">
          <a:off x="3524400" y="2485812"/>
          <a:ext cx="1501274" cy="502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3200"/>
            <a:t>SIL 3</a:t>
          </a:r>
        </a:p>
      </cdr:txBody>
    </cdr:sp>
  </cdr:relSizeAnchor>
  <cdr:relSizeAnchor xmlns:cdr="http://schemas.openxmlformats.org/drawingml/2006/chartDrawing">
    <cdr:from>
      <cdr:x>0.61714</cdr:x>
      <cdr:y>0.58029</cdr:y>
    </cdr:from>
    <cdr:to>
      <cdr:x>0.61757</cdr:x>
      <cdr:y>0.79266</cdr:y>
    </cdr:to>
    <cdr:cxnSp macro="">
      <cdr:nvCxnSpPr>
        <cdr:cNvPr id="8" name="Straight Arrow Connector 7">
          <a:extLst xmlns:a="http://schemas.openxmlformats.org/drawingml/2006/main">
            <a:ext uri="{FF2B5EF4-FFF2-40B4-BE49-F238E27FC236}">
              <a16:creationId xmlns:a16="http://schemas.microsoft.com/office/drawing/2014/main" id="{1B774553-065D-3F85-C78B-F9AE2B8A51CE}"/>
            </a:ext>
          </a:extLst>
        </cdr:cNvPr>
        <cdr:cNvCxnSpPr/>
      </cdr:nvCxnSpPr>
      <cdr:spPr>
        <a:xfrm xmlns:a="http://schemas.openxmlformats.org/drawingml/2006/main">
          <a:off x="4152538" y="2914605"/>
          <a:ext cx="2898" cy="1066648"/>
        </a:xfrm>
        <a:prstGeom xmlns:a="http://schemas.openxmlformats.org/drawingml/2006/main" prst="straightConnector1">
          <a:avLst/>
        </a:prstGeom>
        <a:ln xmlns:a="http://schemas.openxmlformats.org/drawingml/2006/main" w="12700">
          <a:solidFill>
            <a:schemeClr val="tx1"/>
          </a:solidFill>
          <a:headEnd type="triangle" w="med" len="lg"/>
          <a:tailEnd type="triangle" w="med"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0.66169</cdr:x>
      <cdr:y>0.03297</cdr:y>
    </cdr:from>
    <cdr:to>
      <cdr:x>0.87718</cdr:x>
      <cdr:y>0.09782</cdr:y>
    </cdr:to>
    <cdr:sp macro="" textlink="">
      <cdr:nvSpPr>
        <cdr:cNvPr id="3" name="TextBox 2">
          <a:extLst xmlns:a="http://schemas.openxmlformats.org/drawingml/2006/main">
            <a:ext uri="{FF2B5EF4-FFF2-40B4-BE49-F238E27FC236}">
              <a16:creationId xmlns:a16="http://schemas.microsoft.com/office/drawing/2014/main" id="{51261C25-9FA5-391D-8F4B-F7E374F2F1B5}"/>
            </a:ext>
          </a:extLst>
        </cdr:cNvPr>
        <cdr:cNvSpPr txBox="1"/>
      </cdr:nvSpPr>
      <cdr:spPr>
        <a:xfrm xmlns:a="http://schemas.openxmlformats.org/drawingml/2006/main">
          <a:off x="3986918" y="163927"/>
          <a:ext cx="1298408" cy="3223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800"/>
            <a:t>Uncertainty</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114607</xdr:colOff>
      <xdr:row>0</xdr:row>
      <xdr:rowOff>0</xdr:rowOff>
    </xdr:from>
    <xdr:to>
      <xdr:col>0</xdr:col>
      <xdr:colOff>599153</xdr:colOff>
      <xdr:row>0</xdr:row>
      <xdr:rowOff>745408</xdr:rowOff>
    </xdr:to>
    <xdr:pic>
      <xdr:nvPicPr>
        <xdr:cNvPr id="6" name="Picture 5" descr="Ies_clr">
          <a:extLst>
            <a:ext uri="{FF2B5EF4-FFF2-40B4-BE49-F238E27FC236}">
              <a16:creationId xmlns:a16="http://schemas.microsoft.com/office/drawing/2014/main" id="{8E84C695-FF3B-41E4-8165-A82C0215B2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07" y="0"/>
          <a:ext cx="484546" cy="745408"/>
        </a:xfrm>
        <a:prstGeom prst="rect">
          <a:avLst/>
        </a:prstGeom>
        <a:noFill/>
        <a:ln>
          <a:noFill/>
        </a:ln>
      </xdr:spPr>
    </xdr:pic>
    <xdr:clientData/>
  </xdr:twoCellAnchor>
  <xdr:twoCellAnchor>
    <xdr:from>
      <xdr:col>4</xdr:col>
      <xdr:colOff>19050</xdr:colOff>
      <xdr:row>75</xdr:row>
      <xdr:rowOff>133350</xdr:rowOff>
    </xdr:from>
    <xdr:to>
      <xdr:col>4</xdr:col>
      <xdr:colOff>1036996</xdr:colOff>
      <xdr:row>75</xdr:row>
      <xdr:rowOff>138266</xdr:rowOff>
    </xdr:to>
    <xdr:cxnSp macro="">
      <xdr:nvCxnSpPr>
        <xdr:cNvPr id="7" name="Straight Arrow Connector 6">
          <a:extLst>
            <a:ext uri="{FF2B5EF4-FFF2-40B4-BE49-F238E27FC236}">
              <a16:creationId xmlns:a16="http://schemas.microsoft.com/office/drawing/2014/main" id="{D1E23C7E-7106-4CAB-A74F-2B652FF6E4F6}"/>
            </a:ext>
          </a:extLst>
        </xdr:cNvPr>
        <xdr:cNvCxnSpPr/>
      </xdr:nvCxnSpPr>
      <xdr:spPr>
        <a:xfrm>
          <a:off x="3086100" y="18468975"/>
          <a:ext cx="1017946" cy="49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75</xdr:row>
      <xdr:rowOff>123825</xdr:rowOff>
    </xdr:from>
    <xdr:to>
      <xdr:col>7</xdr:col>
      <xdr:colOff>16014</xdr:colOff>
      <xdr:row>75</xdr:row>
      <xdr:rowOff>126586</xdr:rowOff>
    </xdr:to>
    <xdr:cxnSp macro="">
      <xdr:nvCxnSpPr>
        <xdr:cNvPr id="8" name="Straight Arrow Connector 7">
          <a:extLst>
            <a:ext uri="{FF2B5EF4-FFF2-40B4-BE49-F238E27FC236}">
              <a16:creationId xmlns:a16="http://schemas.microsoft.com/office/drawing/2014/main" id="{232E4971-756C-424D-A2E1-BC1EE106B365}"/>
            </a:ext>
          </a:extLst>
        </xdr:cNvPr>
        <xdr:cNvCxnSpPr/>
      </xdr:nvCxnSpPr>
      <xdr:spPr>
        <a:xfrm>
          <a:off x="5038725" y="18459450"/>
          <a:ext cx="968514" cy="276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75</xdr:row>
      <xdr:rowOff>133350</xdr:rowOff>
    </xdr:from>
    <xdr:to>
      <xdr:col>2</xdr:col>
      <xdr:colOff>589170</xdr:colOff>
      <xdr:row>75</xdr:row>
      <xdr:rowOff>138872</xdr:rowOff>
    </xdr:to>
    <xdr:cxnSp macro="">
      <xdr:nvCxnSpPr>
        <xdr:cNvPr id="9" name="Straight Arrow Connector 8">
          <a:extLst>
            <a:ext uri="{FF2B5EF4-FFF2-40B4-BE49-F238E27FC236}">
              <a16:creationId xmlns:a16="http://schemas.microsoft.com/office/drawing/2014/main" id="{E201F15A-9058-47DB-BD6A-69D3906FFD7D}"/>
            </a:ext>
          </a:extLst>
        </xdr:cNvPr>
        <xdr:cNvCxnSpPr/>
      </xdr:nvCxnSpPr>
      <xdr:spPr>
        <a:xfrm>
          <a:off x="1276350" y="18468975"/>
          <a:ext cx="941595" cy="5522"/>
        </a:xfrm>
        <a:prstGeom prst="straightConnector1">
          <a:avLst/>
        </a:prstGeom>
        <a:ln w="38100">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10139</xdr:colOff>
      <xdr:row>75</xdr:row>
      <xdr:rowOff>123825</xdr:rowOff>
    </xdr:from>
    <xdr:to>
      <xdr:col>9</xdr:col>
      <xdr:colOff>436659</xdr:colOff>
      <xdr:row>75</xdr:row>
      <xdr:rowOff>129209</xdr:rowOff>
    </xdr:to>
    <xdr:cxnSp macro="">
      <xdr:nvCxnSpPr>
        <xdr:cNvPr id="10" name="Straight Arrow Connector 9">
          <a:extLst>
            <a:ext uri="{FF2B5EF4-FFF2-40B4-BE49-F238E27FC236}">
              <a16:creationId xmlns:a16="http://schemas.microsoft.com/office/drawing/2014/main" id="{6D247CF2-8099-4E56-A711-80AB5CD5C109}"/>
            </a:ext>
          </a:extLst>
        </xdr:cNvPr>
        <xdr:cNvCxnSpPr/>
      </xdr:nvCxnSpPr>
      <xdr:spPr>
        <a:xfrm>
          <a:off x="7049114" y="18459450"/>
          <a:ext cx="1036120" cy="5384"/>
        </a:xfrm>
        <a:prstGeom prst="straightConnector1">
          <a:avLst/>
        </a:prstGeom>
        <a:ln w="38100">
          <a:solidFill>
            <a:schemeClr val="tx1"/>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19050</xdr:colOff>
      <xdr:row>0</xdr:row>
      <xdr:rowOff>276225</xdr:rowOff>
    </xdr:from>
    <xdr:to>
      <xdr:col>1</xdr:col>
      <xdr:colOff>855714</xdr:colOff>
      <xdr:row>0</xdr:row>
      <xdr:rowOff>652001</xdr:rowOff>
    </xdr:to>
    <xdr:pic>
      <xdr:nvPicPr>
        <xdr:cNvPr id="11" name="Picture 10">
          <a:extLst>
            <a:ext uri="{FF2B5EF4-FFF2-40B4-BE49-F238E27FC236}">
              <a16:creationId xmlns:a16="http://schemas.microsoft.com/office/drawing/2014/main" id="{9EDA3BA7-023A-4D78-B0A5-199C511C3D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276225"/>
          <a:ext cx="836664" cy="375776"/>
        </a:xfrm>
        <a:prstGeom prst="rect">
          <a:avLst/>
        </a:prstGeom>
      </xdr:spPr>
    </xdr:pic>
    <xdr:clientData/>
  </xdr:twoCellAnchor>
  <xdr:twoCellAnchor>
    <xdr:from>
      <xdr:col>8</xdr:col>
      <xdr:colOff>32347</xdr:colOff>
      <xdr:row>80</xdr:row>
      <xdr:rowOff>223382</xdr:rowOff>
    </xdr:from>
    <xdr:to>
      <xdr:col>16</xdr:col>
      <xdr:colOff>159518</xdr:colOff>
      <xdr:row>102</xdr:row>
      <xdr:rowOff>119556</xdr:rowOff>
    </xdr:to>
    <xdr:graphicFrame macro="">
      <xdr:nvGraphicFramePr>
        <xdr:cNvPr id="12" name="Chart 11">
          <a:extLst>
            <a:ext uri="{FF2B5EF4-FFF2-40B4-BE49-F238E27FC236}">
              <a16:creationId xmlns:a16="http://schemas.microsoft.com/office/drawing/2014/main" id="{06AEC29E-4BF7-48EC-A01B-86FB0F98B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545060</xdr:colOff>
      <xdr:row>81</xdr:row>
      <xdr:rowOff>95565</xdr:rowOff>
    </xdr:from>
    <xdr:to>
      <xdr:col>13</xdr:col>
      <xdr:colOff>193368</xdr:colOff>
      <xdr:row>82</xdr:row>
      <xdr:rowOff>392146</xdr:rowOff>
    </xdr:to>
    <xdr:sp macro="" textlink="">
      <xdr:nvSpPr>
        <xdr:cNvPr id="13" name="Rectangle 12">
          <a:extLst>
            <a:ext uri="{FF2B5EF4-FFF2-40B4-BE49-F238E27FC236}">
              <a16:creationId xmlns:a16="http://schemas.microsoft.com/office/drawing/2014/main" id="{324ECE36-9A5E-4AAC-8047-418CACF31ACB}"/>
            </a:ext>
          </a:extLst>
        </xdr:cNvPr>
        <xdr:cNvSpPr/>
      </xdr:nvSpPr>
      <xdr:spPr>
        <a:xfrm>
          <a:off x="11003510" y="19869465"/>
          <a:ext cx="600808" cy="534706"/>
        </a:xfrm>
        <a:prstGeom prst="rect">
          <a:avLst/>
        </a:prstGeom>
        <a:gradFill>
          <a:gsLst>
            <a:gs pos="0">
              <a:schemeClr val="accent1">
                <a:lumMod val="0"/>
                <a:lumOff val="100000"/>
              </a:schemeClr>
            </a:gs>
            <a:gs pos="42000">
              <a:schemeClr val="accent1">
                <a:lumMod val="45000"/>
                <a:lumOff val="55000"/>
              </a:schemeClr>
            </a:gs>
            <a:gs pos="58000">
              <a:schemeClr val="accent1">
                <a:lumMod val="75000"/>
                <a:lumOff val="25000"/>
              </a:schemeClr>
            </a:gs>
            <a:gs pos="100000">
              <a:schemeClr val="accent1">
                <a:lumMod val="0"/>
                <a:lumOff val="10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289892</xdr:colOff>
      <xdr:row>95</xdr:row>
      <xdr:rowOff>190501</xdr:rowOff>
    </xdr:from>
    <xdr:to>
      <xdr:col>10</xdr:col>
      <xdr:colOff>596348</xdr:colOff>
      <xdr:row>110</xdr:row>
      <xdr:rowOff>9940</xdr:rowOff>
    </xdr:to>
    <xdr:graphicFrame macro="">
      <xdr:nvGraphicFramePr>
        <xdr:cNvPr id="14" name="Chart 13">
          <a:extLst>
            <a:ext uri="{FF2B5EF4-FFF2-40B4-BE49-F238E27FC236}">
              <a16:creationId xmlns:a16="http://schemas.microsoft.com/office/drawing/2014/main" id="{BE3DC256-104F-42AC-A470-208E6DACD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24</xdr:col>
      <xdr:colOff>133351</xdr:colOff>
      <xdr:row>118</xdr:row>
      <xdr:rowOff>47625</xdr:rowOff>
    </xdr:from>
    <xdr:to>
      <xdr:col>33</xdr:col>
      <xdr:colOff>38265</xdr:colOff>
      <xdr:row>122</xdr:row>
      <xdr:rowOff>123825</xdr:rowOff>
    </xdr:to>
    <xdr:pic>
      <xdr:nvPicPr>
        <xdr:cNvPr id="2" name="Picture 1">
          <a:extLst>
            <a:ext uri="{FF2B5EF4-FFF2-40B4-BE49-F238E27FC236}">
              <a16:creationId xmlns:a16="http://schemas.microsoft.com/office/drawing/2014/main" id="{03093EAE-509A-E853-5170-FC18F001F5D2}"/>
            </a:ext>
          </a:extLst>
        </xdr:cNvPr>
        <xdr:cNvPicPr>
          <a:picLocks noChangeAspect="1"/>
        </xdr:cNvPicPr>
      </xdr:nvPicPr>
      <xdr:blipFill>
        <a:blip xmlns:r="http://schemas.openxmlformats.org/officeDocument/2006/relationships" r:embed="rId5"/>
        <a:stretch>
          <a:fillRect/>
        </a:stretch>
      </xdr:blipFill>
      <xdr:spPr>
        <a:xfrm>
          <a:off x="19592926" y="28451175"/>
          <a:ext cx="6219989" cy="914400"/>
        </a:xfrm>
        <a:prstGeom prst="rect">
          <a:avLst/>
        </a:prstGeom>
      </xdr:spPr>
    </xdr:pic>
    <xdr:clientData/>
  </xdr:twoCellAnchor>
  <xdr:twoCellAnchor editAs="oneCell">
    <xdr:from>
      <xdr:col>27</xdr:col>
      <xdr:colOff>9525</xdr:colOff>
      <xdr:row>126</xdr:row>
      <xdr:rowOff>66675</xdr:rowOff>
    </xdr:from>
    <xdr:to>
      <xdr:col>28</xdr:col>
      <xdr:colOff>35911</xdr:colOff>
      <xdr:row>126</xdr:row>
      <xdr:rowOff>480805</xdr:rowOff>
    </xdr:to>
    <xdr:pic>
      <xdr:nvPicPr>
        <xdr:cNvPr id="15" name="Picture 14">
          <a:extLst>
            <a:ext uri="{FF2B5EF4-FFF2-40B4-BE49-F238E27FC236}">
              <a16:creationId xmlns:a16="http://schemas.microsoft.com/office/drawing/2014/main" id="{2F2AABEA-5959-4515-B050-EE75B06F9B58}"/>
            </a:ext>
          </a:extLst>
        </xdr:cNvPr>
        <xdr:cNvPicPr>
          <a:picLocks noChangeAspect="1"/>
        </xdr:cNvPicPr>
      </xdr:nvPicPr>
      <xdr:blipFill>
        <a:blip xmlns:r="http://schemas.openxmlformats.org/officeDocument/2006/relationships" r:embed="rId6"/>
        <a:stretch>
          <a:fillRect/>
        </a:stretch>
      </xdr:blipFill>
      <xdr:spPr>
        <a:xfrm>
          <a:off x="21326475" y="30070425"/>
          <a:ext cx="635986" cy="414130"/>
        </a:xfrm>
        <a:prstGeom prst="rect">
          <a:avLst/>
        </a:prstGeom>
      </xdr:spPr>
    </xdr:pic>
    <xdr:clientData/>
  </xdr:twoCellAnchor>
  <xdr:twoCellAnchor editAs="oneCell">
    <xdr:from>
      <xdr:col>12</xdr:col>
      <xdr:colOff>180975</xdr:colOff>
      <xdr:row>0</xdr:row>
      <xdr:rowOff>123825</xdr:rowOff>
    </xdr:from>
    <xdr:to>
      <xdr:col>14</xdr:col>
      <xdr:colOff>676275</xdr:colOff>
      <xdr:row>0</xdr:row>
      <xdr:rowOff>620395</xdr:rowOff>
    </xdr:to>
    <xdr:pic>
      <xdr:nvPicPr>
        <xdr:cNvPr id="3" name="Picture 2" descr="A picture containing text, font, screenshot&#10;&#10;Description automatically generated">
          <a:extLst>
            <a:ext uri="{FF2B5EF4-FFF2-40B4-BE49-F238E27FC236}">
              <a16:creationId xmlns:a16="http://schemas.microsoft.com/office/drawing/2014/main" id="{DC00DE95-2660-11A9-4C8A-40C0E00ED10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639425" y="123825"/>
          <a:ext cx="2295525" cy="49657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0.58437</cdr:x>
      <cdr:y>0.19405</cdr:y>
    </cdr:from>
    <cdr:to>
      <cdr:x>0.83353</cdr:x>
      <cdr:y>0.2952</cdr:y>
    </cdr:to>
    <cdr:sp macro="" textlink="">
      <cdr:nvSpPr>
        <cdr:cNvPr id="2" name="TextBox 1">
          <a:extLst xmlns:a="http://schemas.openxmlformats.org/drawingml/2006/main">
            <a:ext uri="{FF2B5EF4-FFF2-40B4-BE49-F238E27FC236}">
              <a16:creationId xmlns:a16="http://schemas.microsoft.com/office/drawing/2014/main" id="{C6D9DD4A-6415-8A40-9CE8-282EA7B98C46}"/>
            </a:ext>
          </a:extLst>
        </cdr:cNvPr>
        <cdr:cNvSpPr txBox="1"/>
      </cdr:nvSpPr>
      <cdr:spPr>
        <a:xfrm xmlns:a="http://schemas.openxmlformats.org/drawingml/2006/main">
          <a:off x="3521026" y="964681"/>
          <a:ext cx="1501274" cy="5028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3200"/>
            <a:t>SIL 1</a:t>
          </a:r>
        </a:p>
      </cdr:txBody>
    </cdr:sp>
  </cdr:relSizeAnchor>
  <cdr:relSizeAnchor xmlns:cdr="http://schemas.openxmlformats.org/drawingml/2006/chartDrawing">
    <cdr:from>
      <cdr:x>0.61688</cdr:x>
      <cdr:y>0.17542</cdr:y>
    </cdr:from>
    <cdr:to>
      <cdr:x>0.61739</cdr:x>
      <cdr:y>0.37983</cdr:y>
    </cdr:to>
    <cdr:cxnSp macro="">
      <cdr:nvCxnSpPr>
        <cdr:cNvPr id="4" name="Straight Arrow Connector 3">
          <a:extLst xmlns:a="http://schemas.openxmlformats.org/drawingml/2006/main">
            <a:ext uri="{FF2B5EF4-FFF2-40B4-BE49-F238E27FC236}">
              <a16:creationId xmlns:a16="http://schemas.microsoft.com/office/drawing/2014/main" id="{2BC8C311-3DDE-88C8-BC6D-B9A4B293DEE4}"/>
            </a:ext>
          </a:extLst>
        </cdr:cNvPr>
        <cdr:cNvCxnSpPr/>
      </cdr:nvCxnSpPr>
      <cdr:spPr>
        <a:xfrm xmlns:a="http://schemas.openxmlformats.org/drawingml/2006/main">
          <a:off x="4150816" y="881076"/>
          <a:ext cx="3445" cy="1026658"/>
        </a:xfrm>
        <a:prstGeom xmlns:a="http://schemas.openxmlformats.org/drawingml/2006/main" prst="straightConnector1">
          <a:avLst/>
        </a:prstGeom>
        <a:ln xmlns:a="http://schemas.openxmlformats.org/drawingml/2006/main" w="12700">
          <a:solidFill>
            <a:schemeClr val="tx1"/>
          </a:solidFill>
          <a:headEnd type="triangle" w="med" len="lg"/>
          <a:tailEnd type="triangle" w="med"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0.58493</cdr:x>
      <cdr:y>0.34736</cdr:y>
    </cdr:from>
    <cdr:to>
      <cdr:x>0.83409</cdr:x>
      <cdr:y>0.44851</cdr:y>
    </cdr:to>
    <cdr:sp macro="" textlink="">
      <cdr:nvSpPr>
        <cdr:cNvPr id="5" name="TextBox 1">
          <a:extLst xmlns:a="http://schemas.openxmlformats.org/drawingml/2006/main">
            <a:ext uri="{FF2B5EF4-FFF2-40B4-BE49-F238E27FC236}">
              <a16:creationId xmlns:a16="http://schemas.microsoft.com/office/drawing/2014/main" id="{3DB78A7F-184F-1A64-E2D8-61535DC886B3}"/>
            </a:ext>
          </a:extLst>
        </cdr:cNvPr>
        <cdr:cNvSpPr txBox="1"/>
      </cdr:nvSpPr>
      <cdr:spPr>
        <a:xfrm xmlns:a="http://schemas.openxmlformats.org/drawingml/2006/main">
          <a:off x="3524400" y="1726838"/>
          <a:ext cx="1501274" cy="502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3200"/>
            <a:t>SIL 2</a:t>
          </a:r>
        </a:p>
      </cdr:txBody>
    </cdr:sp>
  </cdr:relSizeAnchor>
  <cdr:relSizeAnchor xmlns:cdr="http://schemas.openxmlformats.org/drawingml/2006/chartDrawing">
    <cdr:from>
      <cdr:x>0.61662</cdr:x>
      <cdr:y>0.37948</cdr:y>
    </cdr:from>
    <cdr:to>
      <cdr:x>0.61766</cdr:x>
      <cdr:y>0.5753</cdr:y>
    </cdr:to>
    <cdr:cxnSp macro="">
      <cdr:nvCxnSpPr>
        <cdr:cNvPr id="6" name="Straight Arrow Connector 5">
          <a:extLst xmlns:a="http://schemas.openxmlformats.org/drawingml/2006/main">
            <a:ext uri="{FF2B5EF4-FFF2-40B4-BE49-F238E27FC236}">
              <a16:creationId xmlns:a16="http://schemas.microsoft.com/office/drawing/2014/main" id="{1B774553-065D-3F85-C78B-F9AE2B8A51CE}"/>
            </a:ext>
          </a:extLst>
        </cdr:cNvPr>
        <cdr:cNvCxnSpPr/>
      </cdr:nvCxnSpPr>
      <cdr:spPr>
        <a:xfrm xmlns:a="http://schemas.openxmlformats.org/drawingml/2006/main">
          <a:off x="4149037" y="1906012"/>
          <a:ext cx="7002" cy="983530"/>
        </a:xfrm>
        <a:prstGeom xmlns:a="http://schemas.openxmlformats.org/drawingml/2006/main" prst="straightConnector1">
          <a:avLst/>
        </a:prstGeom>
        <a:ln xmlns:a="http://schemas.openxmlformats.org/drawingml/2006/main" w="12700">
          <a:solidFill>
            <a:schemeClr val="tx1"/>
          </a:solidFill>
          <a:headEnd type="triangle" w="med" len="lg"/>
          <a:tailEnd type="triangle" w="med"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0.58493</cdr:x>
      <cdr:y>0.50003</cdr:y>
    </cdr:from>
    <cdr:to>
      <cdr:x>0.83409</cdr:x>
      <cdr:y>0.60118</cdr:y>
    </cdr:to>
    <cdr:sp macro="" textlink="">
      <cdr:nvSpPr>
        <cdr:cNvPr id="7" name="TextBox 1">
          <a:extLst xmlns:a="http://schemas.openxmlformats.org/drawingml/2006/main">
            <a:ext uri="{FF2B5EF4-FFF2-40B4-BE49-F238E27FC236}">
              <a16:creationId xmlns:a16="http://schemas.microsoft.com/office/drawing/2014/main" id="{3DB78A7F-184F-1A64-E2D8-61535DC886B3}"/>
            </a:ext>
          </a:extLst>
        </cdr:cNvPr>
        <cdr:cNvSpPr txBox="1"/>
      </cdr:nvSpPr>
      <cdr:spPr>
        <a:xfrm xmlns:a="http://schemas.openxmlformats.org/drawingml/2006/main">
          <a:off x="3524400" y="2485812"/>
          <a:ext cx="1501274" cy="502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3200"/>
            <a:t>SIL 3</a:t>
          </a:r>
        </a:p>
      </cdr:txBody>
    </cdr:sp>
  </cdr:relSizeAnchor>
  <cdr:relSizeAnchor xmlns:cdr="http://schemas.openxmlformats.org/drawingml/2006/chartDrawing">
    <cdr:from>
      <cdr:x>0.61714</cdr:x>
      <cdr:y>0.58029</cdr:y>
    </cdr:from>
    <cdr:to>
      <cdr:x>0.61757</cdr:x>
      <cdr:y>0.79266</cdr:y>
    </cdr:to>
    <cdr:cxnSp macro="">
      <cdr:nvCxnSpPr>
        <cdr:cNvPr id="8" name="Straight Arrow Connector 7">
          <a:extLst xmlns:a="http://schemas.openxmlformats.org/drawingml/2006/main">
            <a:ext uri="{FF2B5EF4-FFF2-40B4-BE49-F238E27FC236}">
              <a16:creationId xmlns:a16="http://schemas.microsoft.com/office/drawing/2014/main" id="{1B774553-065D-3F85-C78B-F9AE2B8A51CE}"/>
            </a:ext>
          </a:extLst>
        </cdr:cNvPr>
        <cdr:cNvCxnSpPr/>
      </cdr:nvCxnSpPr>
      <cdr:spPr>
        <a:xfrm xmlns:a="http://schemas.openxmlformats.org/drawingml/2006/main">
          <a:off x="4152538" y="2914605"/>
          <a:ext cx="2898" cy="1066648"/>
        </a:xfrm>
        <a:prstGeom xmlns:a="http://schemas.openxmlformats.org/drawingml/2006/main" prst="straightConnector1">
          <a:avLst/>
        </a:prstGeom>
        <a:ln xmlns:a="http://schemas.openxmlformats.org/drawingml/2006/main" w="12700">
          <a:solidFill>
            <a:schemeClr val="tx1"/>
          </a:solidFill>
          <a:headEnd type="triangle" w="med" len="lg"/>
          <a:tailEnd type="triangle" w="med"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0.66169</cdr:x>
      <cdr:y>0.03297</cdr:y>
    </cdr:from>
    <cdr:to>
      <cdr:x>0.87718</cdr:x>
      <cdr:y>0.09782</cdr:y>
    </cdr:to>
    <cdr:sp macro="" textlink="">
      <cdr:nvSpPr>
        <cdr:cNvPr id="3" name="TextBox 2">
          <a:extLst xmlns:a="http://schemas.openxmlformats.org/drawingml/2006/main">
            <a:ext uri="{FF2B5EF4-FFF2-40B4-BE49-F238E27FC236}">
              <a16:creationId xmlns:a16="http://schemas.microsoft.com/office/drawing/2014/main" id="{51261C25-9FA5-391D-8F4B-F7E374F2F1B5}"/>
            </a:ext>
          </a:extLst>
        </cdr:cNvPr>
        <cdr:cNvSpPr txBox="1"/>
      </cdr:nvSpPr>
      <cdr:spPr>
        <a:xfrm xmlns:a="http://schemas.openxmlformats.org/drawingml/2006/main">
          <a:off x="3986918" y="163927"/>
          <a:ext cx="1298408" cy="3223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800"/>
            <a:t>Uncertainty</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esystems.com.au/uploads/2024/07/The-MooN-SIF-model.pdf" TargetMode="External"/><Relationship Id="rId1" Type="http://schemas.openxmlformats.org/officeDocument/2006/relationships/hyperlink" Target="http://silsafedat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rek.generowicz@iesystems.com.au?subject=The%20MoonSIF%20Calculation%20Tool" TargetMode="External"/><Relationship Id="rId1" Type="http://schemas.openxmlformats.org/officeDocument/2006/relationships/hyperlink" Target="https://creativecommons.org/licenses/by-sa/4.0/legalco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A91B-8234-438B-A102-C978761FDBCD}">
  <sheetPr>
    <pageSetUpPr fitToPage="1"/>
  </sheetPr>
  <dimension ref="A1:N97"/>
  <sheetViews>
    <sheetView tabSelected="1" zoomScale="130" zoomScaleNormal="130" workbookViewId="0">
      <selection activeCell="B4" sqref="B4"/>
    </sheetView>
  </sheetViews>
  <sheetFormatPr defaultRowHeight="15" x14ac:dyDescent="0.25"/>
  <cols>
    <col min="1" max="1" width="11.140625" customWidth="1"/>
    <col min="2" max="2" width="119.42578125" style="75" customWidth="1"/>
  </cols>
  <sheetData>
    <row r="1" spans="1:14" ht="63" customHeight="1" x14ac:dyDescent="0.25">
      <c r="B1" s="34" t="s">
        <v>308</v>
      </c>
    </row>
    <row r="2" spans="1:14" ht="39" customHeight="1" x14ac:dyDescent="0.25">
      <c r="B2" s="227" t="s">
        <v>427</v>
      </c>
    </row>
    <row r="3" spans="1:14" ht="21" x14ac:dyDescent="0.35">
      <c r="A3" s="33"/>
      <c r="B3" s="75" t="s">
        <v>418</v>
      </c>
    </row>
    <row r="4" spans="1:14" ht="21" x14ac:dyDescent="0.35">
      <c r="A4" s="33"/>
      <c r="B4" s="234" t="s">
        <v>455</v>
      </c>
    </row>
    <row r="5" spans="1:14" ht="18.75" x14ac:dyDescent="0.25">
      <c r="A5" s="102">
        <v>1</v>
      </c>
      <c r="B5" s="117" t="s">
        <v>315</v>
      </c>
    </row>
    <row r="6" spans="1:14" x14ac:dyDescent="0.25">
      <c r="B6" s="75" t="s">
        <v>364</v>
      </c>
    </row>
    <row r="7" spans="1:14" ht="18" x14ac:dyDescent="0.25">
      <c r="A7" s="102"/>
      <c r="B7" s="75" t="s">
        <v>249</v>
      </c>
    </row>
    <row r="8" spans="1:14" ht="75" x14ac:dyDescent="0.25">
      <c r="B8" s="36" t="s">
        <v>255</v>
      </c>
    </row>
    <row r="9" spans="1:14" ht="30" x14ac:dyDescent="0.25">
      <c r="A9" s="102"/>
      <c r="B9" s="36" t="s">
        <v>295</v>
      </c>
    </row>
    <row r="10" spans="1:14" ht="30" x14ac:dyDescent="0.25">
      <c r="A10" s="102"/>
      <c r="B10" s="36" t="s">
        <v>316</v>
      </c>
    </row>
    <row r="11" spans="1:14" ht="45" x14ac:dyDescent="0.25">
      <c r="A11" s="102"/>
      <c r="B11" s="36" t="s">
        <v>250</v>
      </c>
    </row>
    <row r="12" spans="1:14" x14ac:dyDescent="0.25">
      <c r="B12" s="36" t="s">
        <v>252</v>
      </c>
    </row>
    <row r="13" spans="1:14" x14ac:dyDescent="0.25">
      <c r="A13" s="110"/>
      <c r="B13" s="177" t="s">
        <v>310</v>
      </c>
      <c r="C13" s="75"/>
      <c r="D13" s="75"/>
      <c r="E13" s="75"/>
      <c r="F13" s="75"/>
      <c r="H13" s="75"/>
      <c r="J13" s="112"/>
      <c r="K13" s="112"/>
      <c r="L13" s="112"/>
      <c r="M13" s="112"/>
      <c r="N13" s="112"/>
    </row>
    <row r="14" spans="1:14" ht="18" x14ac:dyDescent="0.25">
      <c r="A14" s="31"/>
      <c r="B14" s="76" t="s">
        <v>157</v>
      </c>
    </row>
    <row r="15" spans="1:14" ht="18" x14ac:dyDescent="0.25">
      <c r="A15" s="102"/>
      <c r="B15" s="116" t="s">
        <v>350</v>
      </c>
    </row>
    <row r="16" spans="1:14" ht="18" x14ac:dyDescent="0.25">
      <c r="A16" s="102"/>
      <c r="B16" s="36" t="s">
        <v>359</v>
      </c>
    </row>
    <row r="17" spans="1:2" ht="30" x14ac:dyDescent="0.25">
      <c r="A17" s="102"/>
      <c r="B17" s="36" t="s">
        <v>409</v>
      </c>
    </row>
    <row r="18" spans="1:2" ht="30" x14ac:dyDescent="0.25">
      <c r="B18" s="36" t="s">
        <v>317</v>
      </c>
    </row>
    <row r="19" spans="1:2" ht="30" x14ac:dyDescent="0.25">
      <c r="A19" s="102"/>
      <c r="B19" s="36" t="s">
        <v>296</v>
      </c>
    </row>
    <row r="20" spans="1:2" ht="45" x14ac:dyDescent="0.25">
      <c r="A20" s="102"/>
      <c r="B20" s="36" t="s">
        <v>410</v>
      </c>
    </row>
    <row r="21" spans="1:2" ht="30" x14ac:dyDescent="0.25">
      <c r="A21" s="102"/>
      <c r="B21" s="36" t="s">
        <v>313</v>
      </c>
    </row>
    <row r="22" spans="1:2" ht="105" x14ac:dyDescent="0.25">
      <c r="A22" s="30"/>
      <c r="B22" s="36" t="s">
        <v>318</v>
      </c>
    </row>
    <row r="23" spans="1:2" ht="90" x14ac:dyDescent="0.25">
      <c r="A23" s="30"/>
      <c r="B23" s="36" t="s">
        <v>411</v>
      </c>
    </row>
    <row r="24" spans="1:2" ht="45" x14ac:dyDescent="0.25">
      <c r="A24" s="30"/>
      <c r="B24" s="36" t="s">
        <v>412</v>
      </c>
    </row>
    <row r="25" spans="1:2" ht="45" x14ac:dyDescent="0.25">
      <c r="A25" s="30"/>
      <c r="B25" s="36" t="s">
        <v>413</v>
      </c>
    </row>
    <row r="26" spans="1:2" ht="45" x14ac:dyDescent="0.25">
      <c r="A26" s="30"/>
      <c r="B26" s="36" t="s">
        <v>414</v>
      </c>
    </row>
    <row r="27" spans="1:2" ht="18.75" x14ac:dyDescent="0.25">
      <c r="A27" s="102">
        <v>2</v>
      </c>
      <c r="B27" s="182" t="s">
        <v>309</v>
      </c>
    </row>
    <row r="28" spans="1:2" ht="30" x14ac:dyDescent="0.25">
      <c r="B28" s="36" t="s">
        <v>322</v>
      </c>
    </row>
    <row r="29" spans="1:2" x14ac:dyDescent="0.25">
      <c r="B29" s="75" t="s">
        <v>323</v>
      </c>
    </row>
    <row r="30" spans="1:2" ht="30" x14ac:dyDescent="0.25">
      <c r="B30" s="36" t="s">
        <v>351</v>
      </c>
    </row>
    <row r="31" spans="1:2" ht="18" x14ac:dyDescent="0.25">
      <c r="A31" s="102"/>
      <c r="B31" s="75" t="s">
        <v>415</v>
      </c>
    </row>
    <row r="32" spans="1:2" ht="45" x14ac:dyDescent="0.25">
      <c r="A32" s="102"/>
      <c r="B32" s="36" t="s">
        <v>352</v>
      </c>
    </row>
    <row r="33" spans="1:2" ht="33" x14ac:dyDescent="0.25">
      <c r="A33" s="102"/>
      <c r="B33" s="36" t="s">
        <v>416</v>
      </c>
    </row>
    <row r="34" spans="1:2" ht="18" x14ac:dyDescent="0.25">
      <c r="A34" s="102"/>
      <c r="B34" s="36" t="s">
        <v>354</v>
      </c>
    </row>
    <row r="35" spans="1:2" ht="18" x14ac:dyDescent="0.25">
      <c r="A35" s="102"/>
      <c r="B35" s="36" t="s">
        <v>355</v>
      </c>
    </row>
    <row r="36" spans="1:2" ht="18" x14ac:dyDescent="0.25">
      <c r="A36" s="102"/>
      <c r="B36" s="36" t="s">
        <v>353</v>
      </c>
    </row>
    <row r="37" spans="1:2" ht="51" x14ac:dyDescent="0.25">
      <c r="A37" s="102"/>
      <c r="B37" s="36" t="s">
        <v>361</v>
      </c>
    </row>
    <row r="38" spans="1:2" ht="30" x14ac:dyDescent="0.25">
      <c r="A38" s="102"/>
      <c r="B38" s="36" t="s">
        <v>417</v>
      </c>
    </row>
    <row r="39" spans="1:2" ht="18.75" x14ac:dyDescent="0.25">
      <c r="A39" s="102">
        <v>3</v>
      </c>
      <c r="B39" s="182" t="s">
        <v>290</v>
      </c>
    </row>
    <row r="40" spans="1:2" ht="30" x14ac:dyDescent="0.25">
      <c r="A40" s="102"/>
      <c r="B40" s="36" t="s">
        <v>326</v>
      </c>
    </row>
    <row r="41" spans="1:2" ht="30" x14ac:dyDescent="0.25">
      <c r="A41" s="102"/>
      <c r="B41" s="36" t="s">
        <v>327</v>
      </c>
    </row>
    <row r="42" spans="1:2" ht="30" x14ac:dyDescent="0.25">
      <c r="A42" s="102"/>
      <c r="B42" s="36" t="s">
        <v>325</v>
      </c>
    </row>
    <row r="43" spans="1:2" ht="60" x14ac:dyDescent="0.25">
      <c r="A43" s="102"/>
      <c r="B43" s="36" t="s">
        <v>358</v>
      </c>
    </row>
    <row r="44" spans="1:2" ht="18.75" x14ac:dyDescent="0.25">
      <c r="A44" s="102">
        <v>4</v>
      </c>
      <c r="B44" s="182" t="s">
        <v>314</v>
      </c>
    </row>
    <row r="45" spans="1:2" ht="45" x14ac:dyDescent="0.25">
      <c r="A45" s="102"/>
      <c r="B45" s="36" t="s">
        <v>320</v>
      </c>
    </row>
    <row r="46" spans="1:2" ht="90" x14ac:dyDescent="0.25">
      <c r="A46" s="102"/>
      <c r="B46" s="36" t="s">
        <v>362</v>
      </c>
    </row>
    <row r="47" spans="1:2" ht="60" x14ac:dyDescent="0.25">
      <c r="A47" s="31"/>
      <c r="B47" s="36" t="s">
        <v>321</v>
      </c>
    </row>
    <row r="48" spans="1:2" ht="30" x14ac:dyDescent="0.25">
      <c r="A48" s="31"/>
      <c r="B48" s="36" t="s">
        <v>324</v>
      </c>
    </row>
    <row r="49" spans="1:4" ht="105" x14ac:dyDescent="0.25">
      <c r="A49" s="31"/>
      <c r="B49" s="36" t="s">
        <v>363</v>
      </c>
    </row>
    <row r="50" spans="1:4" ht="18.75" x14ac:dyDescent="0.25">
      <c r="A50" s="102">
        <v>5</v>
      </c>
      <c r="B50" s="182" t="s">
        <v>386</v>
      </c>
    </row>
    <row r="51" spans="1:4" ht="60" x14ac:dyDescent="0.25">
      <c r="A51" s="31"/>
      <c r="B51" s="36" t="s">
        <v>398</v>
      </c>
    </row>
    <row r="52" spans="1:4" ht="60" x14ac:dyDescent="0.25">
      <c r="A52" s="31"/>
      <c r="B52" s="36" t="s">
        <v>389</v>
      </c>
      <c r="D52" s="217"/>
    </row>
    <row r="53" spans="1:4" ht="75" x14ac:dyDescent="0.25">
      <c r="A53" s="31"/>
      <c r="B53" s="36" t="s">
        <v>397</v>
      </c>
      <c r="D53" s="218"/>
    </row>
    <row r="54" spans="1:4" ht="45" x14ac:dyDescent="0.25">
      <c r="A54" s="31"/>
      <c r="B54" s="36" t="s">
        <v>393</v>
      </c>
      <c r="D54" s="218"/>
    </row>
    <row r="55" spans="1:4" ht="18.75" x14ac:dyDescent="0.25">
      <c r="A55" s="102">
        <v>6</v>
      </c>
      <c r="B55" s="182" t="s">
        <v>311</v>
      </c>
      <c r="D55" s="218"/>
    </row>
    <row r="56" spans="1:4" ht="30" x14ac:dyDescent="0.25">
      <c r="A56" s="102"/>
      <c r="B56" s="36" t="s">
        <v>312</v>
      </c>
    </row>
    <row r="57" spans="1:4" ht="30" x14ac:dyDescent="0.25">
      <c r="B57" s="36" t="s">
        <v>319</v>
      </c>
    </row>
    <row r="58" spans="1:4" ht="18" x14ac:dyDescent="0.25">
      <c r="A58" s="31"/>
      <c r="B58" s="36"/>
    </row>
    <row r="59" spans="1:4" ht="18" x14ac:dyDescent="0.25">
      <c r="A59" s="31"/>
      <c r="B59" s="36"/>
    </row>
    <row r="60" spans="1:4" ht="18" x14ac:dyDescent="0.25">
      <c r="A60" s="31"/>
      <c r="B60" s="36"/>
    </row>
    <row r="61" spans="1:4" ht="18" x14ac:dyDescent="0.25">
      <c r="A61" s="29"/>
    </row>
    <row r="62" spans="1:4" ht="18" x14ac:dyDescent="0.25">
      <c r="A62" s="103" t="s">
        <v>237</v>
      </c>
    </row>
    <row r="63" spans="1:4" ht="18" x14ac:dyDescent="0.25">
      <c r="A63" s="102">
        <v>1</v>
      </c>
      <c r="B63" s="75" t="s">
        <v>238</v>
      </c>
    </row>
    <row r="64" spans="1:4" ht="18" x14ac:dyDescent="0.25">
      <c r="A64" s="102">
        <v>2</v>
      </c>
      <c r="B64" s="75" t="s">
        <v>239</v>
      </c>
    </row>
    <row r="65" spans="1:2" ht="18" x14ac:dyDescent="0.25">
      <c r="A65" s="102">
        <v>3</v>
      </c>
      <c r="B65" s="105" t="s">
        <v>251</v>
      </c>
    </row>
    <row r="66" spans="1:2" ht="18" x14ac:dyDescent="0.25">
      <c r="A66" s="102">
        <v>4</v>
      </c>
      <c r="B66" s="75" t="s">
        <v>240</v>
      </c>
    </row>
    <row r="67" spans="1:2" ht="18" x14ac:dyDescent="0.25">
      <c r="A67" s="102">
        <v>5</v>
      </c>
      <c r="B67" s="75" t="s">
        <v>241</v>
      </c>
    </row>
    <row r="68" spans="1:2" ht="18" x14ac:dyDescent="0.25">
      <c r="A68" s="102">
        <v>6</v>
      </c>
      <c r="B68" s="106" t="s">
        <v>242</v>
      </c>
    </row>
    <row r="69" spans="1:2" ht="30" x14ac:dyDescent="0.25">
      <c r="A69" s="102">
        <v>7</v>
      </c>
      <c r="B69" s="36" t="s">
        <v>245</v>
      </c>
    </row>
    <row r="70" spans="1:2" ht="18" x14ac:dyDescent="0.25">
      <c r="A70" s="102">
        <v>8</v>
      </c>
      <c r="B70" s="107" t="s">
        <v>243</v>
      </c>
    </row>
    <row r="71" spans="1:2" ht="18" x14ac:dyDescent="0.25">
      <c r="A71" s="102">
        <v>9</v>
      </c>
      <c r="B71" s="107" t="s">
        <v>244</v>
      </c>
    </row>
    <row r="72" spans="1:2" ht="18" x14ac:dyDescent="0.25">
      <c r="A72" s="102">
        <v>10</v>
      </c>
      <c r="B72" s="175" t="s">
        <v>291</v>
      </c>
    </row>
    <row r="73" spans="1:2" ht="30" x14ac:dyDescent="0.25">
      <c r="A73" s="102">
        <v>11</v>
      </c>
      <c r="B73" s="36" t="s">
        <v>246</v>
      </c>
    </row>
    <row r="74" spans="1:2" ht="30" x14ac:dyDescent="0.25">
      <c r="A74" s="102">
        <v>12</v>
      </c>
      <c r="B74" s="36" t="s">
        <v>247</v>
      </c>
    </row>
    <row r="75" spans="1:2" ht="45" x14ac:dyDescent="0.25">
      <c r="A75" s="102">
        <v>13</v>
      </c>
      <c r="B75" s="36" t="s">
        <v>248</v>
      </c>
    </row>
    <row r="76" spans="1:2" ht="18" x14ac:dyDescent="0.25">
      <c r="A76" s="102">
        <v>14</v>
      </c>
      <c r="B76" s="75" t="s">
        <v>297</v>
      </c>
    </row>
    <row r="77" spans="1:2" ht="18" x14ac:dyDescent="0.25">
      <c r="A77" s="102">
        <v>15</v>
      </c>
      <c r="B77" s="75" t="s">
        <v>392</v>
      </c>
    </row>
    <row r="78" spans="1:2" ht="30" x14ac:dyDescent="0.25">
      <c r="A78" s="102">
        <v>16</v>
      </c>
      <c r="B78" s="36" t="s">
        <v>407</v>
      </c>
    </row>
    <row r="79" spans="1:2" ht="18" x14ac:dyDescent="0.25">
      <c r="A79" s="31"/>
      <c r="B79" s="36"/>
    </row>
    <row r="80" spans="1:2" ht="18" x14ac:dyDescent="0.25">
      <c r="A80" s="103" t="s">
        <v>272</v>
      </c>
    </row>
    <row r="81" spans="1:2" ht="18" x14ac:dyDescent="0.25">
      <c r="A81" s="31"/>
      <c r="B81" s="75" t="s">
        <v>408</v>
      </c>
    </row>
    <row r="82" spans="1:2" x14ac:dyDescent="0.25">
      <c r="A82" s="104"/>
    </row>
    <row r="83" spans="1:2" ht="18" x14ac:dyDescent="0.25">
      <c r="A83" s="30"/>
    </row>
    <row r="84" spans="1:2" ht="18" x14ac:dyDescent="0.25">
      <c r="A84" s="31"/>
    </row>
    <row r="85" spans="1:2" ht="18" x14ac:dyDescent="0.25">
      <c r="A85" s="30"/>
    </row>
    <row r="86" spans="1:2" ht="18" x14ac:dyDescent="0.25">
      <c r="A86" s="31"/>
    </row>
    <row r="87" spans="1:2" ht="18" x14ac:dyDescent="0.25">
      <c r="A87" s="29"/>
    </row>
    <row r="88" spans="1:2" ht="18" x14ac:dyDescent="0.25">
      <c r="A88" s="30"/>
    </row>
    <row r="89" spans="1:2" ht="18" x14ac:dyDescent="0.25">
      <c r="A89" s="31"/>
    </row>
    <row r="90" spans="1:2" ht="18" x14ac:dyDescent="0.25">
      <c r="A90" s="30"/>
    </row>
    <row r="91" spans="1:2" ht="18" x14ac:dyDescent="0.25">
      <c r="A91" s="31"/>
    </row>
    <row r="92" spans="1:2" ht="18" x14ac:dyDescent="0.25">
      <c r="A92" s="29"/>
    </row>
    <row r="93" spans="1:2" ht="18" x14ac:dyDescent="0.25">
      <c r="A93" s="30"/>
    </row>
    <row r="94" spans="1:2" ht="18" x14ac:dyDescent="0.25">
      <c r="A94" s="30"/>
    </row>
    <row r="95" spans="1:2" ht="18" x14ac:dyDescent="0.25">
      <c r="A95" s="30"/>
    </row>
    <row r="96" spans="1:2" ht="18" x14ac:dyDescent="0.25">
      <c r="A96" s="31"/>
    </row>
    <row r="97" spans="1:1" ht="18" x14ac:dyDescent="0.25">
      <c r="A97" s="31"/>
    </row>
  </sheetData>
  <hyperlinks>
    <hyperlink ref="B72" r:id="rId1" xr:uid="{207E6BEC-B126-40B2-9B42-18959E30CF8F}"/>
    <hyperlink ref="B4" r:id="rId2" xr:uid="{9E706F4E-F514-4738-9C7B-D3D9CA7DCBB8}"/>
  </hyperlinks>
  <pageMargins left="0.7" right="0.7" top="0.75" bottom="0.75" header="0.3" footer="0.3"/>
  <pageSetup paperSize="9" scale="63"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7102-B8C0-47A9-BE5F-0C5174C0D900}">
  <dimension ref="A1:D58"/>
  <sheetViews>
    <sheetView workbookViewId="0"/>
  </sheetViews>
  <sheetFormatPr defaultRowHeight="15" x14ac:dyDescent="0.25"/>
  <cols>
    <col min="1" max="1" width="13.140625" customWidth="1"/>
    <col min="2" max="2" width="10.85546875" customWidth="1"/>
    <col min="4" max="4" width="13.5703125" customWidth="1"/>
  </cols>
  <sheetData>
    <row r="1" spans="1:4" ht="23.25" x14ac:dyDescent="0.35">
      <c r="A1" s="181" t="s">
        <v>307</v>
      </c>
    </row>
    <row r="2" spans="1:4" x14ac:dyDescent="0.25">
      <c r="A2" s="14" t="s">
        <v>273</v>
      </c>
      <c r="B2" s="179" t="str">
        <f>INDEX(VersionList,MATCH(ReleaseDate,RevDates))</f>
        <v>0.4.</v>
      </c>
      <c r="C2" s="14" t="s">
        <v>304</v>
      </c>
      <c r="D2" s="180">
        <f>MAX(RevDates)</f>
        <v>45474</v>
      </c>
    </row>
    <row r="3" spans="1:4" x14ac:dyDescent="0.25">
      <c r="A3" s="14" t="s">
        <v>442</v>
      </c>
    </row>
    <row r="4" spans="1:4" x14ac:dyDescent="0.25">
      <c r="A4" s="14" t="s">
        <v>305</v>
      </c>
      <c r="B4" s="178" t="s">
        <v>306</v>
      </c>
    </row>
    <row r="5" spans="1:4" x14ac:dyDescent="0.25">
      <c r="A5" s="14" t="s">
        <v>399</v>
      </c>
      <c r="B5" t="s">
        <v>400</v>
      </c>
    </row>
    <row r="7" spans="1:4" x14ac:dyDescent="0.25">
      <c r="A7" s="14" t="s">
        <v>330</v>
      </c>
    </row>
    <row r="8" spans="1:4" x14ac:dyDescent="0.25">
      <c r="A8" s="178" t="s">
        <v>298</v>
      </c>
    </row>
    <row r="9" spans="1:4" x14ac:dyDescent="0.25">
      <c r="A9" s="14" t="s">
        <v>328</v>
      </c>
    </row>
    <row r="10" spans="1:4" x14ac:dyDescent="0.25">
      <c r="A10" s="14" t="s">
        <v>329</v>
      </c>
    </row>
    <row r="19" spans="1:3" x14ac:dyDescent="0.25">
      <c r="A19" s="14" t="s">
        <v>299</v>
      </c>
    </row>
    <row r="20" spans="1:3" x14ac:dyDescent="0.25">
      <c r="A20" t="s">
        <v>301</v>
      </c>
    </row>
    <row r="21" spans="1:3" x14ac:dyDescent="0.25">
      <c r="A21" t="s">
        <v>302</v>
      </c>
    </row>
    <row r="23" spans="1:3" x14ac:dyDescent="0.25">
      <c r="A23" t="s">
        <v>300</v>
      </c>
    </row>
    <row r="24" spans="1:3" x14ac:dyDescent="0.25">
      <c r="A24" t="s">
        <v>303</v>
      </c>
    </row>
    <row r="26" spans="1:3" x14ac:dyDescent="0.25">
      <c r="A26" s="178"/>
    </row>
    <row r="27" spans="1:3" x14ac:dyDescent="0.25">
      <c r="A27" s="14" t="s">
        <v>273</v>
      </c>
      <c r="B27" t="s">
        <v>365</v>
      </c>
      <c r="C27" s="14" t="s">
        <v>257</v>
      </c>
    </row>
    <row r="28" spans="1:3" x14ac:dyDescent="0.25">
      <c r="A28" s="237" t="s">
        <v>406</v>
      </c>
      <c r="B28" s="238">
        <v>45076</v>
      </c>
      <c r="C28" t="s">
        <v>405</v>
      </c>
    </row>
    <row r="29" spans="1:3" x14ac:dyDescent="0.25">
      <c r="A29" s="192" t="s">
        <v>444</v>
      </c>
      <c r="B29" s="238">
        <v>45098</v>
      </c>
      <c r="C29" t="s">
        <v>448</v>
      </c>
    </row>
    <row r="30" spans="1:3" x14ac:dyDescent="0.25">
      <c r="A30" s="237" t="s">
        <v>449</v>
      </c>
      <c r="B30" s="238">
        <v>45140</v>
      </c>
      <c r="C30" t="s">
        <v>450</v>
      </c>
    </row>
    <row r="31" spans="1:3" x14ac:dyDescent="0.25">
      <c r="A31" s="237" t="s">
        <v>451</v>
      </c>
      <c r="B31" s="238">
        <v>45259</v>
      </c>
      <c r="C31" t="s">
        <v>452</v>
      </c>
    </row>
    <row r="32" spans="1:3" x14ac:dyDescent="0.25">
      <c r="A32" s="237" t="s">
        <v>453</v>
      </c>
      <c r="B32" s="238">
        <v>45474</v>
      </c>
      <c r="C32" t="s">
        <v>454</v>
      </c>
    </row>
    <row r="33" spans="1:2" x14ac:dyDescent="0.25">
      <c r="A33" s="192"/>
      <c r="B33" s="238"/>
    </row>
    <row r="34" spans="1:2" x14ac:dyDescent="0.25">
      <c r="A34" s="192"/>
      <c r="B34" s="238"/>
    </row>
    <row r="35" spans="1:2" x14ac:dyDescent="0.25">
      <c r="A35" s="192"/>
      <c r="B35" s="238"/>
    </row>
    <row r="36" spans="1:2" x14ac:dyDescent="0.25">
      <c r="A36" s="192"/>
      <c r="B36" s="238"/>
    </row>
    <row r="37" spans="1:2" x14ac:dyDescent="0.25">
      <c r="A37" s="192"/>
      <c r="B37" s="238"/>
    </row>
    <row r="38" spans="1:2" x14ac:dyDescent="0.25">
      <c r="A38" s="192"/>
      <c r="B38" s="238"/>
    </row>
    <row r="39" spans="1:2" x14ac:dyDescent="0.25">
      <c r="A39" s="192"/>
      <c r="B39" s="238"/>
    </row>
    <row r="40" spans="1:2" x14ac:dyDescent="0.25">
      <c r="A40" s="192"/>
      <c r="B40" s="238"/>
    </row>
    <row r="41" spans="1:2" x14ac:dyDescent="0.25">
      <c r="A41" s="192"/>
      <c r="B41" s="238"/>
    </row>
    <row r="42" spans="1:2" x14ac:dyDescent="0.25">
      <c r="A42" s="192"/>
      <c r="B42" s="238"/>
    </row>
    <row r="43" spans="1:2" x14ac:dyDescent="0.25">
      <c r="A43" s="192"/>
      <c r="B43" s="238"/>
    </row>
    <row r="44" spans="1:2" x14ac:dyDescent="0.25">
      <c r="A44" s="192"/>
      <c r="B44" s="238"/>
    </row>
    <row r="45" spans="1:2" x14ac:dyDescent="0.25">
      <c r="A45" s="192"/>
      <c r="B45" s="238"/>
    </row>
    <row r="46" spans="1:2" x14ac:dyDescent="0.25">
      <c r="A46" s="192"/>
      <c r="B46" s="238"/>
    </row>
    <row r="47" spans="1:2" x14ac:dyDescent="0.25">
      <c r="A47" s="192"/>
      <c r="B47" s="192"/>
    </row>
    <row r="48" spans="1:2" x14ac:dyDescent="0.25">
      <c r="A48" s="192"/>
      <c r="B48" s="192"/>
    </row>
    <row r="49" spans="1:2" x14ac:dyDescent="0.25">
      <c r="A49" s="192"/>
      <c r="B49" s="192"/>
    </row>
    <row r="50" spans="1:2" x14ac:dyDescent="0.25">
      <c r="A50" s="192"/>
      <c r="B50" s="192"/>
    </row>
    <row r="51" spans="1:2" x14ac:dyDescent="0.25">
      <c r="A51" s="192"/>
      <c r="B51" s="192"/>
    </row>
    <row r="52" spans="1:2" x14ac:dyDescent="0.25">
      <c r="A52" s="192"/>
      <c r="B52" s="192"/>
    </row>
    <row r="53" spans="1:2" x14ac:dyDescent="0.25">
      <c r="A53" s="192"/>
      <c r="B53" s="192"/>
    </row>
    <row r="54" spans="1:2" x14ac:dyDescent="0.25">
      <c r="A54" s="192"/>
      <c r="B54" s="192"/>
    </row>
    <row r="55" spans="1:2" x14ac:dyDescent="0.25">
      <c r="A55" s="192"/>
      <c r="B55" s="192"/>
    </row>
    <row r="56" spans="1:2" x14ac:dyDescent="0.25">
      <c r="A56" s="192"/>
      <c r="B56" s="192"/>
    </row>
    <row r="57" spans="1:2" x14ac:dyDescent="0.25">
      <c r="A57" s="192"/>
      <c r="B57" s="192"/>
    </row>
    <row r="58" spans="1:2" x14ac:dyDescent="0.25">
      <c r="A58" s="192"/>
      <c r="B58" s="192"/>
    </row>
  </sheetData>
  <hyperlinks>
    <hyperlink ref="A8" r:id="rId1" xr:uid="{9B5F429E-D938-4514-B5FE-DB0571660170}"/>
    <hyperlink ref="B4" r:id="rId2" xr:uid="{17AD8B06-F1D6-4A97-835E-0348C961F705}"/>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0EE06-190F-4044-8AE3-3CB57D4CC55B}">
  <dimension ref="A1:K58"/>
  <sheetViews>
    <sheetView workbookViewId="0">
      <selection activeCell="A5" sqref="A5"/>
    </sheetView>
  </sheetViews>
  <sheetFormatPr defaultRowHeight="15" x14ac:dyDescent="0.25"/>
  <cols>
    <col min="1" max="2" width="17" customWidth="1"/>
    <col min="3" max="3" width="77" style="75" customWidth="1"/>
    <col min="4" max="4" width="10.42578125" customWidth="1"/>
    <col min="5" max="5" width="12" customWidth="1"/>
    <col min="6" max="6" width="9.5703125" customWidth="1"/>
    <col min="7" max="7" width="11.140625" customWidth="1"/>
    <col min="8" max="8" width="11.5703125" customWidth="1"/>
    <col min="10" max="10" width="11.28515625" customWidth="1"/>
    <col min="11" max="11" width="30" customWidth="1"/>
  </cols>
  <sheetData>
    <row r="1" spans="1:11" ht="66.75" customHeight="1" x14ac:dyDescent="0.25">
      <c r="B1" s="44"/>
      <c r="C1" s="199" t="s">
        <v>308</v>
      </c>
      <c r="D1" s="133"/>
      <c r="E1" s="134"/>
      <c r="F1" s="134"/>
      <c r="G1" s="134"/>
      <c r="H1" s="134"/>
      <c r="I1" s="134"/>
      <c r="J1" s="134"/>
      <c r="K1" s="42"/>
    </row>
    <row r="2" spans="1:11" ht="40.5" customHeight="1" x14ac:dyDescent="0.25">
      <c r="B2" s="239" t="s">
        <v>356</v>
      </c>
      <c r="C2" s="240"/>
      <c r="D2" s="240"/>
      <c r="E2" s="240"/>
      <c r="F2" s="240"/>
      <c r="G2" s="240"/>
      <c r="H2" s="240"/>
      <c r="I2" s="240"/>
      <c r="J2" s="240"/>
      <c r="K2" s="241"/>
    </row>
    <row r="3" spans="1:11" s="101" customFormat="1" ht="31.5" x14ac:dyDescent="0.25">
      <c r="A3" s="131" t="s">
        <v>269</v>
      </c>
      <c r="B3" s="135" t="s">
        <v>256</v>
      </c>
      <c r="C3" s="131" t="s">
        <v>257</v>
      </c>
      <c r="D3" s="200" t="s">
        <v>258</v>
      </c>
      <c r="E3" s="200" t="s">
        <v>259</v>
      </c>
      <c r="F3" s="200" t="s">
        <v>267</v>
      </c>
      <c r="G3" s="200" t="s">
        <v>224</v>
      </c>
      <c r="H3" s="200" t="s">
        <v>220</v>
      </c>
      <c r="I3" s="200" t="s">
        <v>260</v>
      </c>
      <c r="J3" s="200" t="s">
        <v>357</v>
      </c>
      <c r="K3" s="136" t="s">
        <v>98</v>
      </c>
    </row>
    <row r="4" spans="1:11" ht="18" x14ac:dyDescent="0.25">
      <c r="A4" s="130" t="s">
        <v>421</v>
      </c>
      <c r="B4" s="145" t="str">
        <f ca="1">INDIRECT(SFIndex&amp;"!SF_ID")</f>
        <v>SF 001</v>
      </c>
      <c r="C4" s="116" t="str">
        <f ca="1">INDIRECT(SFIndex&amp;"!Descr")</f>
        <v>Example safety function description: Flare knock-out drum high level trip</v>
      </c>
      <c r="D4" s="119">
        <f ca="1">INDIRECT(SFIndex&amp;"!SIL_target")</f>
        <v>2</v>
      </c>
      <c r="E4" s="119">
        <f ca="1">INDIRECT(SFIndex&amp;"!SILachieved")</f>
        <v>2</v>
      </c>
      <c r="F4" s="119">
        <f ca="1">INDIRECT(SFIndex&amp;"!archSILlimit")</f>
        <v>3</v>
      </c>
      <c r="G4" s="201">
        <f ca="1">INDIRECT(SFIndex&amp;"!RRF_target")</f>
        <v>300</v>
      </c>
      <c r="H4" s="201">
        <f ca="1">INDIRECT(SFIndex&amp;"!RRF")</f>
        <v>600</v>
      </c>
      <c r="I4" s="118">
        <f ca="1">IF(H4&gt;=G4,ROUND(H4/G4,0),"FAILS")</f>
        <v>2</v>
      </c>
      <c r="J4" s="201">
        <f ca="1">INDIRECT(SFIndex&amp;"!MTTFS")</f>
        <v>60</v>
      </c>
      <c r="K4" s="146"/>
    </row>
    <row r="5" spans="1:11" ht="18" x14ac:dyDescent="0.25">
      <c r="A5" s="102"/>
      <c r="B5" s="137"/>
      <c r="C5" s="36"/>
      <c r="K5" s="46"/>
    </row>
    <row r="6" spans="1:11" ht="18" x14ac:dyDescent="0.25">
      <c r="A6" s="102"/>
      <c r="B6" s="137"/>
      <c r="C6" s="36"/>
      <c r="K6" s="46"/>
    </row>
    <row r="7" spans="1:11" ht="18" x14ac:dyDescent="0.25">
      <c r="A7" s="102"/>
      <c r="B7" s="137"/>
      <c r="C7" s="36"/>
      <c r="K7" s="46"/>
    </row>
    <row r="8" spans="1:11" x14ac:dyDescent="0.25">
      <c r="B8" s="48"/>
      <c r="C8" s="36"/>
      <c r="K8" s="46"/>
    </row>
    <row r="9" spans="1:11" x14ac:dyDescent="0.25">
      <c r="B9" s="48"/>
      <c r="C9" s="36"/>
      <c r="K9" s="46"/>
    </row>
    <row r="10" spans="1:11" x14ac:dyDescent="0.25">
      <c r="B10" s="48"/>
      <c r="C10" s="36"/>
      <c r="K10" s="46"/>
    </row>
    <row r="11" spans="1:11" ht="18" x14ac:dyDescent="0.25">
      <c r="A11" s="102"/>
      <c r="B11" s="137"/>
      <c r="C11" s="36"/>
      <c r="K11" s="46"/>
    </row>
    <row r="12" spans="1:11" ht="18" x14ac:dyDescent="0.25">
      <c r="A12" s="102"/>
      <c r="B12" s="137"/>
      <c r="K12" s="46"/>
    </row>
    <row r="13" spans="1:11" ht="18" x14ac:dyDescent="0.25">
      <c r="A13" s="102"/>
      <c r="B13" s="137"/>
      <c r="C13" s="36"/>
      <c r="K13" s="46"/>
    </row>
    <row r="14" spans="1:11" x14ac:dyDescent="0.25">
      <c r="B14" s="48"/>
      <c r="C14" s="36"/>
      <c r="K14" s="46"/>
    </row>
    <row r="15" spans="1:11" ht="18" x14ac:dyDescent="0.25">
      <c r="A15" s="102"/>
      <c r="B15" s="137"/>
      <c r="K15" s="46"/>
    </row>
    <row r="16" spans="1:11" ht="18" x14ac:dyDescent="0.25">
      <c r="A16" s="102"/>
      <c r="B16" s="137"/>
      <c r="K16" s="46"/>
    </row>
    <row r="17" spans="1:11" ht="18" x14ac:dyDescent="0.25">
      <c r="A17" s="102"/>
      <c r="B17" s="137"/>
      <c r="K17" s="46"/>
    </row>
    <row r="18" spans="1:11" ht="18" x14ac:dyDescent="0.25">
      <c r="A18" s="102"/>
      <c r="B18" s="137"/>
      <c r="K18" s="46"/>
    </row>
    <row r="19" spans="1:11" ht="18" x14ac:dyDescent="0.25">
      <c r="A19" s="102"/>
      <c r="B19" s="137"/>
      <c r="K19" s="46"/>
    </row>
    <row r="20" spans="1:11" ht="18" x14ac:dyDescent="0.25">
      <c r="A20" s="102"/>
      <c r="B20" s="137"/>
      <c r="K20" s="46"/>
    </row>
    <row r="21" spans="1:11" ht="18" x14ac:dyDescent="0.25">
      <c r="A21" s="102"/>
      <c r="B21" s="137"/>
      <c r="K21" s="46"/>
    </row>
    <row r="22" spans="1:11" ht="18" x14ac:dyDescent="0.25">
      <c r="A22" s="102"/>
      <c r="B22" s="137"/>
      <c r="K22" s="46"/>
    </row>
    <row r="23" spans="1:11" ht="18" x14ac:dyDescent="0.25">
      <c r="A23" s="31"/>
      <c r="B23" s="138"/>
      <c r="K23" s="46"/>
    </row>
    <row r="24" spans="1:11" ht="18" x14ac:dyDescent="0.25">
      <c r="A24" s="30"/>
      <c r="B24" s="139"/>
      <c r="K24" s="46"/>
    </row>
    <row r="25" spans="1:11" ht="18" x14ac:dyDescent="0.25">
      <c r="A25" s="31"/>
      <c r="B25" s="138"/>
      <c r="K25" s="46"/>
    </row>
    <row r="26" spans="1:11" ht="18" x14ac:dyDescent="0.25">
      <c r="A26" s="29"/>
      <c r="B26" s="140"/>
      <c r="K26" s="46"/>
    </row>
    <row r="27" spans="1:11" ht="18" x14ac:dyDescent="0.25">
      <c r="A27" s="103"/>
      <c r="B27" s="141"/>
      <c r="K27" s="46"/>
    </row>
    <row r="28" spans="1:11" ht="18" x14ac:dyDescent="0.25">
      <c r="A28" s="102"/>
      <c r="B28" s="137"/>
      <c r="K28" s="46"/>
    </row>
    <row r="29" spans="1:11" ht="18" x14ac:dyDescent="0.25">
      <c r="A29" s="102"/>
      <c r="B29" s="137"/>
      <c r="K29" s="46"/>
    </row>
    <row r="30" spans="1:11" ht="18" x14ac:dyDescent="0.25">
      <c r="A30" s="102"/>
      <c r="B30" s="137"/>
      <c r="C30" s="105"/>
      <c r="K30" s="46"/>
    </row>
    <row r="31" spans="1:11" ht="18" x14ac:dyDescent="0.25">
      <c r="A31" s="102"/>
      <c r="B31" s="137"/>
      <c r="K31" s="46"/>
    </row>
    <row r="32" spans="1:11" ht="18" x14ac:dyDescent="0.25">
      <c r="A32" s="102"/>
      <c r="B32" s="137"/>
      <c r="K32" s="46"/>
    </row>
    <row r="33" spans="1:11" ht="18" x14ac:dyDescent="0.25">
      <c r="A33" s="102"/>
      <c r="B33" s="137"/>
      <c r="C33" s="106"/>
      <c r="K33" s="46"/>
    </row>
    <row r="34" spans="1:11" ht="18" x14ac:dyDescent="0.25">
      <c r="A34" s="102"/>
      <c r="B34" s="137"/>
      <c r="C34" s="36"/>
      <c r="K34" s="46"/>
    </row>
    <row r="35" spans="1:11" ht="18.75" thickBot="1" x14ac:dyDescent="0.3">
      <c r="A35" s="102"/>
      <c r="B35" s="142"/>
      <c r="C35" s="143"/>
      <c r="D35" s="144"/>
      <c r="E35" s="144"/>
      <c r="F35" s="144"/>
      <c r="G35" s="144"/>
      <c r="H35" s="144"/>
      <c r="I35" s="144"/>
      <c r="J35" s="144"/>
      <c r="K35" s="52"/>
    </row>
    <row r="36" spans="1:11" ht="18" x14ac:dyDescent="0.25">
      <c r="A36" s="102"/>
      <c r="B36" s="102"/>
      <c r="C36" s="107"/>
    </row>
    <row r="37" spans="1:11" ht="18" x14ac:dyDescent="0.25">
      <c r="A37" s="102"/>
      <c r="B37" s="102"/>
      <c r="C37" s="36"/>
    </row>
    <row r="38" spans="1:11" ht="18" x14ac:dyDescent="0.25">
      <c r="A38" s="102"/>
      <c r="B38" s="102"/>
      <c r="C38" s="36"/>
    </row>
    <row r="39" spans="1:11" ht="18" x14ac:dyDescent="0.25">
      <c r="A39" s="102"/>
      <c r="B39" s="102"/>
      <c r="C39" s="36"/>
    </row>
    <row r="40" spans="1:11" ht="18" x14ac:dyDescent="0.25">
      <c r="A40" s="31"/>
      <c r="B40" s="31"/>
    </row>
    <row r="41" spans="1:11" ht="18" x14ac:dyDescent="0.25">
      <c r="A41" s="30"/>
      <c r="B41" s="30"/>
    </row>
    <row r="42" spans="1:11" ht="18" x14ac:dyDescent="0.25">
      <c r="A42" s="31"/>
      <c r="B42" s="31"/>
    </row>
    <row r="43" spans="1:11" x14ac:dyDescent="0.25">
      <c r="A43" s="104"/>
      <c r="B43" s="104"/>
    </row>
    <row r="44" spans="1:11" ht="18" x14ac:dyDescent="0.25">
      <c r="A44" s="30"/>
      <c r="B44" s="30"/>
    </row>
    <row r="45" spans="1:11" ht="18" x14ac:dyDescent="0.25">
      <c r="A45" s="31"/>
      <c r="B45" s="31"/>
    </row>
    <row r="46" spans="1:11" ht="18" x14ac:dyDescent="0.25">
      <c r="A46" s="30"/>
      <c r="B46" s="30"/>
    </row>
    <row r="47" spans="1:11" ht="18" x14ac:dyDescent="0.25">
      <c r="A47" s="31"/>
      <c r="B47" s="31"/>
    </row>
    <row r="48" spans="1:11" ht="18" x14ac:dyDescent="0.25">
      <c r="A48" s="29"/>
      <c r="B48" s="29"/>
    </row>
    <row r="49" spans="1:2" ht="18" x14ac:dyDescent="0.25">
      <c r="A49" s="30"/>
      <c r="B49" s="30"/>
    </row>
    <row r="50" spans="1:2" ht="18" x14ac:dyDescent="0.25">
      <c r="A50" s="31"/>
      <c r="B50" s="31"/>
    </row>
    <row r="51" spans="1:2" ht="18" x14ac:dyDescent="0.25">
      <c r="A51" s="30"/>
      <c r="B51" s="30"/>
    </row>
    <row r="52" spans="1:2" ht="18" x14ac:dyDescent="0.25">
      <c r="A52" s="31"/>
      <c r="B52" s="31"/>
    </row>
    <row r="53" spans="1:2" ht="18" x14ac:dyDescent="0.25">
      <c r="A53" s="29"/>
      <c r="B53" s="29"/>
    </row>
    <row r="54" spans="1:2" ht="18" x14ac:dyDescent="0.25">
      <c r="A54" s="30"/>
      <c r="B54" s="30"/>
    </row>
    <row r="55" spans="1:2" ht="18" x14ac:dyDescent="0.25">
      <c r="A55" s="30"/>
      <c r="B55" s="30"/>
    </row>
    <row r="56" spans="1:2" ht="18" x14ac:dyDescent="0.25">
      <c r="A56" s="30"/>
      <c r="B56" s="30"/>
    </row>
    <row r="57" spans="1:2" ht="18" x14ac:dyDescent="0.25">
      <c r="A57" s="31"/>
      <c r="B57" s="31"/>
    </row>
    <row r="58" spans="1:2" ht="18" x14ac:dyDescent="0.25">
      <c r="A58" s="31"/>
      <c r="B58" s="31"/>
    </row>
  </sheetData>
  <mergeCells count="1">
    <mergeCell ref="B2:K2"/>
  </mergeCells>
  <phoneticPr fontId="51" type="noConversion"/>
  <conditionalFormatting sqref="E4">
    <cfRule type="expression" dxfId="2" priority="2">
      <formula>$D4&gt;$E4</formula>
    </cfRule>
  </conditionalFormatting>
  <conditionalFormatting sqref="F4">
    <cfRule type="expression" dxfId="1" priority="3">
      <formula>$F4&lt;$D4</formula>
    </cfRule>
  </conditionalFormatting>
  <conditionalFormatting sqref="G4:H4">
    <cfRule type="expression" dxfId="0" priority="1">
      <formula>$G4&gt;$H4</formula>
    </cfRule>
  </conditionalFormatting>
  <pageMargins left="0.7" right="0.2" top="0.55000000000000004" bottom="0.43" header="0.3" footer="0.3"/>
  <pageSetup paperSize="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C7F8-0E00-49FF-A2E6-4E24659A9C80}">
  <dimension ref="A1:AZ141"/>
  <sheetViews>
    <sheetView zoomScale="85" zoomScaleNormal="85" workbookViewId="0">
      <selection activeCell="E7" sqref="E7:F7"/>
    </sheetView>
  </sheetViews>
  <sheetFormatPr defaultRowHeight="15" x14ac:dyDescent="0.25"/>
  <cols>
    <col min="1" max="1" width="11.42578125" customWidth="1"/>
    <col min="2" max="2" width="13" customWidth="1"/>
    <col min="4" max="4" width="12.42578125" customWidth="1"/>
    <col min="5" max="5" width="16" customWidth="1"/>
    <col min="6" max="6" width="13.28515625" customWidth="1"/>
    <col min="7" max="7" width="14.5703125" customWidth="1"/>
    <col min="8" max="8" width="15.7109375" customWidth="1"/>
    <col min="9" max="9" width="9.140625" customWidth="1"/>
    <col min="10" max="10" width="11.140625" customWidth="1"/>
    <col min="11" max="11" width="11" customWidth="1"/>
    <col min="12" max="12" width="13.140625" customWidth="1"/>
    <col min="13" max="13" width="10.5703125" customWidth="1"/>
    <col min="14" max="14" width="12.7109375" customWidth="1"/>
    <col min="15" max="15" width="10.28515625" customWidth="1"/>
    <col min="16" max="16" width="10.42578125" customWidth="1"/>
    <col min="17" max="17" width="6.85546875" customWidth="1"/>
    <col min="18" max="18" width="14.5703125" customWidth="1"/>
    <col min="20" max="20" width="11" bestFit="1" customWidth="1"/>
    <col min="21" max="22" width="10.42578125" customWidth="1"/>
    <col min="25" max="25" width="11.140625" customWidth="1"/>
    <col min="26" max="26" width="9.5703125" bestFit="1" customWidth="1"/>
    <col min="29" max="29" width="12.42578125" customWidth="1"/>
    <col min="35" max="35" width="20.42578125" customWidth="1"/>
    <col min="36" max="36" width="18.85546875" customWidth="1"/>
    <col min="37" max="37" width="15.140625" customWidth="1"/>
    <col min="38" max="38" width="18.7109375" customWidth="1"/>
    <col min="39" max="39" width="16.42578125" customWidth="1"/>
    <col min="40" max="40" width="17.5703125" customWidth="1"/>
    <col min="41" max="41" width="11.7109375" customWidth="1"/>
    <col min="42" max="42" width="14.5703125" customWidth="1"/>
    <col min="43" max="43" width="12.7109375" customWidth="1"/>
    <col min="45" max="45" width="16.42578125" customWidth="1"/>
    <col min="46" max="46" width="16.5703125" customWidth="1"/>
    <col min="50" max="50" width="9.140625" customWidth="1"/>
    <col min="51" max="51" width="13.42578125" customWidth="1"/>
  </cols>
  <sheetData>
    <row r="1" spans="1:15" ht="61.5" customHeight="1" x14ac:dyDescent="0.25">
      <c r="B1" s="34" t="s">
        <v>308</v>
      </c>
      <c r="C1" s="75"/>
      <c r="D1" s="75"/>
      <c r="E1" s="75"/>
      <c r="F1" s="75"/>
      <c r="G1" s="75"/>
      <c r="H1" s="75"/>
      <c r="I1" s="75"/>
      <c r="J1" s="75"/>
      <c r="K1" s="75"/>
      <c r="L1" s="75"/>
      <c r="M1" s="75"/>
      <c r="N1" s="75"/>
      <c r="O1" s="75"/>
    </row>
    <row r="2" spans="1:15" ht="21" x14ac:dyDescent="0.25">
      <c r="A2" s="34"/>
      <c r="B2" s="75"/>
      <c r="C2" s="75"/>
      <c r="D2" s="75"/>
      <c r="E2" s="75"/>
      <c r="F2" s="75"/>
      <c r="G2" s="75"/>
      <c r="H2" s="75"/>
      <c r="I2" s="75"/>
      <c r="J2" s="75"/>
      <c r="K2" s="75"/>
      <c r="L2" s="75"/>
      <c r="M2" s="75"/>
      <c r="N2" s="75"/>
      <c r="O2" s="75"/>
    </row>
    <row r="3" spans="1:15" ht="20.25" x14ac:dyDescent="0.25">
      <c r="A3" s="109" t="s">
        <v>42</v>
      </c>
      <c r="B3" s="75"/>
      <c r="C3" s="75"/>
      <c r="D3" s="75"/>
      <c r="E3" s="75"/>
      <c r="F3" s="75"/>
      <c r="G3" s="75"/>
      <c r="H3" s="75"/>
      <c r="I3" s="75"/>
      <c r="J3" s="75"/>
      <c r="L3" s="109" t="s">
        <v>384</v>
      </c>
      <c r="M3" s="75"/>
      <c r="N3" s="75"/>
      <c r="O3" s="75"/>
    </row>
    <row r="4" spans="1:15" x14ac:dyDescent="0.25">
      <c r="A4" s="110" t="s">
        <v>53</v>
      </c>
      <c r="B4" s="75"/>
      <c r="C4" s="75"/>
      <c r="D4" s="75"/>
      <c r="E4" s="75"/>
      <c r="F4" s="111"/>
      <c r="H4" s="75"/>
      <c r="I4" s="112" t="s">
        <v>229</v>
      </c>
      <c r="J4" s="112"/>
      <c r="K4" s="112"/>
      <c r="L4" s="112"/>
      <c r="M4" s="112"/>
      <c r="N4" s="112"/>
      <c r="O4" s="75"/>
    </row>
    <row r="5" spans="1:15" x14ac:dyDescent="0.25">
      <c r="A5" s="110" t="s">
        <v>347</v>
      </c>
      <c r="B5" s="75"/>
      <c r="C5" s="75"/>
      <c r="D5" s="75"/>
      <c r="E5" s="75"/>
      <c r="F5" s="198"/>
      <c r="G5" s="75"/>
      <c r="H5" s="75"/>
      <c r="I5" s="75"/>
      <c r="J5" s="75"/>
      <c r="K5" s="75"/>
      <c r="L5" s="75"/>
      <c r="M5" s="75"/>
      <c r="N5" s="75"/>
      <c r="O5" s="75"/>
    </row>
    <row r="6" spans="1:15" x14ac:dyDescent="0.25">
      <c r="A6" s="75"/>
      <c r="B6" s="75"/>
      <c r="C6" s="75"/>
      <c r="D6" s="75"/>
      <c r="E6" s="75"/>
      <c r="F6" s="75"/>
      <c r="G6" s="75"/>
      <c r="H6" s="75"/>
      <c r="I6" s="75"/>
      <c r="J6" s="75"/>
      <c r="K6" s="75"/>
      <c r="L6" s="75"/>
      <c r="M6" s="75"/>
      <c r="N6" s="75"/>
      <c r="O6" s="75"/>
    </row>
    <row r="7" spans="1:15" ht="21" x14ac:dyDescent="0.25">
      <c r="A7" s="109" t="s">
        <v>175</v>
      </c>
      <c r="B7" s="113"/>
      <c r="C7" s="113"/>
      <c r="D7" s="113"/>
      <c r="E7" s="243" t="s">
        <v>268</v>
      </c>
      <c r="F7" s="243"/>
      <c r="H7" s="113"/>
      <c r="I7" s="114" t="s">
        <v>178</v>
      </c>
      <c r="J7" s="186">
        <v>2</v>
      </c>
      <c r="K7" s="34"/>
      <c r="L7" s="109"/>
      <c r="M7" s="113"/>
      <c r="N7" s="114" t="s">
        <v>180</v>
      </c>
      <c r="O7" s="108">
        <v>300</v>
      </c>
    </row>
    <row r="8" spans="1:15" x14ac:dyDescent="0.25">
      <c r="A8" s="115"/>
      <c r="B8" s="110" t="s">
        <v>176</v>
      </c>
      <c r="C8" s="75"/>
      <c r="D8" s="75"/>
      <c r="E8" s="75"/>
      <c r="F8" s="75"/>
      <c r="G8" s="75"/>
      <c r="H8" s="75"/>
      <c r="I8" s="75"/>
      <c r="J8" s="75"/>
      <c r="K8" s="75"/>
      <c r="L8" s="75"/>
      <c r="M8" s="75"/>
      <c r="N8" s="75"/>
      <c r="O8" s="75"/>
    </row>
    <row r="9" spans="1:15" x14ac:dyDescent="0.25">
      <c r="A9" s="115"/>
      <c r="B9" s="244" t="s">
        <v>348</v>
      </c>
      <c r="C9" s="244"/>
      <c r="D9" s="244"/>
      <c r="E9" s="244"/>
      <c r="F9" s="244"/>
      <c r="G9" s="244"/>
      <c r="H9" s="244"/>
      <c r="I9" s="244"/>
      <c r="J9" s="244"/>
      <c r="K9" s="244"/>
      <c r="L9" s="244"/>
      <c r="M9" s="244"/>
      <c r="N9" s="244"/>
      <c r="O9" s="244"/>
    </row>
    <row r="10" spans="1:15" x14ac:dyDescent="0.25">
      <c r="A10" s="75"/>
      <c r="B10" s="75"/>
      <c r="C10" s="75"/>
      <c r="D10" s="75"/>
      <c r="E10" s="75"/>
      <c r="F10" s="75"/>
      <c r="G10" s="75"/>
      <c r="H10" s="75"/>
      <c r="I10" s="75"/>
      <c r="J10" s="75"/>
      <c r="K10" s="75"/>
      <c r="L10" s="75"/>
      <c r="M10" s="75"/>
      <c r="N10" s="75"/>
      <c r="O10" s="75"/>
    </row>
    <row r="11" spans="1:15" ht="18" x14ac:dyDescent="0.25">
      <c r="A11" s="99" t="s">
        <v>43</v>
      </c>
      <c r="B11" s="75"/>
      <c r="C11" s="75"/>
      <c r="D11" s="75"/>
      <c r="E11" s="75"/>
      <c r="F11" s="75"/>
      <c r="G11" s="75"/>
      <c r="H11" s="75"/>
      <c r="I11" s="75"/>
      <c r="J11" s="75"/>
      <c r="K11" s="75"/>
      <c r="L11" s="75"/>
      <c r="M11" s="75"/>
      <c r="N11" s="75"/>
      <c r="O11" s="75"/>
    </row>
    <row r="12" spans="1:15" x14ac:dyDescent="0.25">
      <c r="A12" s="115"/>
      <c r="B12" s="110" t="s">
        <v>177</v>
      </c>
      <c r="C12" s="75"/>
      <c r="D12" s="75"/>
      <c r="E12" s="75"/>
      <c r="F12" s="75"/>
      <c r="G12" s="75"/>
      <c r="H12" s="75"/>
      <c r="I12" s="75"/>
      <c r="J12" s="75"/>
      <c r="K12" s="75"/>
      <c r="L12" s="75"/>
      <c r="M12" s="75"/>
      <c r="N12" s="75"/>
      <c r="O12" s="75"/>
    </row>
    <row r="13" spans="1:15" ht="33.75" customHeight="1" x14ac:dyDescent="0.25">
      <c r="A13" s="115"/>
      <c r="B13" s="245" t="s">
        <v>349</v>
      </c>
      <c r="C13" s="245"/>
      <c r="D13" s="245"/>
      <c r="E13" s="245"/>
      <c r="F13" s="245"/>
      <c r="G13" s="245"/>
      <c r="H13" s="245"/>
      <c r="I13" s="245"/>
      <c r="J13" s="245"/>
      <c r="K13" s="245"/>
      <c r="L13" s="245"/>
      <c r="M13" s="245"/>
      <c r="N13" s="245"/>
      <c r="O13" s="245"/>
    </row>
    <row r="14" spans="1:15" ht="18" x14ac:dyDescent="0.25">
      <c r="A14" s="99"/>
      <c r="B14" s="75"/>
      <c r="C14" s="75"/>
      <c r="D14" s="75"/>
      <c r="E14" s="75"/>
      <c r="F14" s="75"/>
      <c r="G14" s="75"/>
      <c r="H14" s="75"/>
      <c r="I14" s="75"/>
      <c r="J14" s="75"/>
      <c r="K14" s="75"/>
      <c r="L14" s="75"/>
      <c r="M14" s="75"/>
      <c r="N14" s="75"/>
      <c r="O14" s="75"/>
    </row>
    <row r="15" spans="1:15" ht="18" x14ac:dyDescent="0.25">
      <c r="A15" s="99"/>
      <c r="B15" s="110" t="s">
        <v>160</v>
      </c>
      <c r="C15" s="75"/>
      <c r="D15" s="75"/>
      <c r="E15" s="244" t="s">
        <v>128</v>
      </c>
      <c r="F15" s="244"/>
      <c r="G15" s="75"/>
      <c r="H15" s="75"/>
      <c r="I15" s="110" t="s">
        <v>89</v>
      </c>
      <c r="J15" s="116" t="str" cm="1">
        <f t="array" aca="1" ref="J15" ca="1">INDIRECT(SensorFMEA&amp;"!Eqpt_ID")</f>
        <v>PZHH01</v>
      </c>
      <c r="K15" s="75"/>
      <c r="L15" s="75"/>
      <c r="M15" s="75"/>
      <c r="N15" s="75"/>
      <c r="O15" s="75"/>
    </row>
    <row r="16" spans="1:15" ht="18" x14ac:dyDescent="0.25">
      <c r="A16" s="99"/>
      <c r="B16" s="110" t="s">
        <v>154</v>
      </c>
      <c r="C16" s="75"/>
      <c r="D16" s="75"/>
      <c r="E16" s="75"/>
      <c r="F16" s="75"/>
      <c r="G16" s="75"/>
      <c r="H16" s="75"/>
      <c r="I16" s="75"/>
      <c r="J16" s="75"/>
      <c r="K16" s="75"/>
      <c r="L16" s="75"/>
      <c r="M16" s="75"/>
      <c r="N16" s="75"/>
      <c r="O16" s="75"/>
    </row>
    <row r="17" spans="1:15" ht="18" x14ac:dyDescent="0.25">
      <c r="A17" s="99"/>
      <c r="B17" s="242" t="str" cm="1">
        <f t="array" aca="1" ref="B17" ca="1">INDIRECT(SensorFMEA&amp;"!Manufacturers_and_models")</f>
        <v>Generic 4-20mA pressure transmitter with impulse line connection</v>
      </c>
      <c r="C17" s="242"/>
      <c r="D17" s="242"/>
      <c r="E17" s="242"/>
      <c r="F17" s="242"/>
      <c r="G17" s="242"/>
      <c r="H17" s="242"/>
      <c r="I17" s="242"/>
      <c r="J17" s="242"/>
      <c r="K17" s="242"/>
      <c r="L17" s="242"/>
      <c r="M17" s="242"/>
      <c r="N17" s="242"/>
      <c r="O17" s="242"/>
    </row>
    <row r="18" spans="1:15" ht="18" x14ac:dyDescent="0.25">
      <c r="A18" s="99"/>
      <c r="B18" s="110" t="s">
        <v>52</v>
      </c>
      <c r="C18" s="75"/>
      <c r="D18" s="75"/>
      <c r="E18" s="75"/>
      <c r="F18" s="75"/>
      <c r="G18" s="75"/>
      <c r="H18" s="75"/>
      <c r="I18" s="75"/>
      <c r="J18" s="75"/>
      <c r="K18" s="75"/>
      <c r="L18" s="75"/>
      <c r="M18" s="75"/>
      <c r="N18" s="75"/>
      <c r="O18" s="75"/>
    </row>
    <row r="19" spans="1:15" ht="18" x14ac:dyDescent="0.25">
      <c r="A19" s="99"/>
      <c r="B19" s="242" t="str" cm="1">
        <f t="array" aca="1" ref="B19" ca="1">INDIRECT(SensorFMEA&amp;"!references")</f>
        <v>Quote references sources here</v>
      </c>
      <c r="C19" s="242"/>
      <c r="D19" s="242"/>
      <c r="E19" s="242"/>
      <c r="F19" s="242"/>
      <c r="G19" s="242"/>
      <c r="H19" s="242"/>
      <c r="I19" s="242"/>
      <c r="J19" s="242"/>
      <c r="K19" s="242"/>
      <c r="L19" s="242"/>
      <c r="M19" s="242"/>
      <c r="N19" s="242"/>
      <c r="O19" s="242"/>
    </row>
    <row r="20" spans="1:15" ht="18" x14ac:dyDescent="0.25">
      <c r="A20" s="99"/>
      <c r="B20" s="110" t="s">
        <v>54</v>
      </c>
      <c r="C20" s="75"/>
      <c r="D20" s="75"/>
      <c r="E20" s="75"/>
      <c r="F20" s="246" t="s">
        <v>277</v>
      </c>
      <c r="G20" s="246"/>
      <c r="H20" s="75"/>
      <c r="I20" s="110"/>
      <c r="J20" s="75"/>
      <c r="K20" s="110" t="s">
        <v>292</v>
      </c>
      <c r="L20" s="75"/>
      <c r="M20" s="75"/>
      <c r="N20" s="75"/>
      <c r="O20" s="188">
        <v>1</v>
      </c>
    </row>
    <row r="21" spans="1:15" ht="18" x14ac:dyDescent="0.25">
      <c r="A21" s="99"/>
      <c r="B21" s="242" t="str" cm="1">
        <f t="array" aca="1" ref="B21" ca="1">INDIRECT(SensorFMEA&amp;"!Suitability")</f>
        <v>Refer to either a safety manual or to a prior use analysis report</v>
      </c>
      <c r="C21" s="242"/>
      <c r="D21" s="242"/>
      <c r="E21" s="242"/>
      <c r="F21" s="242"/>
      <c r="G21" s="242"/>
      <c r="H21" s="242"/>
      <c r="I21" s="242"/>
      <c r="J21" s="242"/>
      <c r="K21" s="242"/>
      <c r="L21" s="242"/>
      <c r="M21" s="242"/>
      <c r="N21" s="242"/>
      <c r="O21" s="242"/>
    </row>
    <row r="22" spans="1:15" ht="18.75" x14ac:dyDescent="0.25">
      <c r="A22" s="75"/>
      <c r="B22" s="117" t="s">
        <v>280</v>
      </c>
      <c r="C22" s="75"/>
      <c r="D22" s="75"/>
      <c r="E22" s="75"/>
      <c r="F22" s="75"/>
      <c r="G22" s="75"/>
      <c r="H22" s="75"/>
      <c r="I22" s="75"/>
      <c r="J22" s="75"/>
      <c r="K22" s="75"/>
      <c r="L22" s="75"/>
      <c r="M22" s="75"/>
      <c r="N22" s="75"/>
      <c r="O22" s="75"/>
    </row>
    <row r="23" spans="1:15" ht="18" x14ac:dyDescent="0.25">
      <c r="A23" s="99"/>
      <c r="B23" s="110" t="s">
        <v>231</v>
      </c>
      <c r="C23" s="75"/>
      <c r="D23" s="111">
        <v>1</v>
      </c>
      <c r="E23" s="83" t="s">
        <v>332</v>
      </c>
      <c r="F23" s="111">
        <v>2</v>
      </c>
      <c r="I23" s="55" t="s">
        <v>166</v>
      </c>
      <c r="J23" s="75"/>
      <c r="K23" s="118">
        <f>SensorN-SensorM</f>
        <v>1</v>
      </c>
      <c r="L23" s="75"/>
      <c r="M23" s="75"/>
      <c r="N23" s="75"/>
      <c r="O23" s="75"/>
    </row>
    <row r="24" spans="1:15" ht="18" x14ac:dyDescent="0.25">
      <c r="A24" s="99"/>
      <c r="B24" s="110" t="s">
        <v>230</v>
      </c>
      <c r="C24" s="75"/>
      <c r="D24" s="119" cm="1">
        <f t="array" aca="1" ref="D24" ca="1">INDEX(Route1H_Tables,K24,SensorHFT+2)</f>
        <v>2</v>
      </c>
      <c r="E24" s="75"/>
      <c r="F24" s="55" t="s">
        <v>233</v>
      </c>
      <c r="G24" s="75"/>
      <c r="H24" s="118" t="str" cm="1">
        <f t="array" aca="1" ref="H24" ca="1">INDIRECT(SensorFMEA&amp;"!HFTType")</f>
        <v>Type B</v>
      </c>
      <c r="I24" s="73" t="s">
        <v>125</v>
      </c>
      <c r="J24" s="120">
        <f ca="1">VLOOKUP(SelectedSensorSystem,SubSysTable,23,FALSE)</f>
        <v>0.80975609756097566</v>
      </c>
      <c r="K24" s="121">
        <f ca="1">IF(H24="Type A",MATCH(J24,SFFRange,1),MATCH(J24,SFFRange,1)+10)</f>
        <v>12</v>
      </c>
      <c r="L24" s="75"/>
      <c r="M24" s="110" t="s">
        <v>261</v>
      </c>
      <c r="N24" s="75"/>
      <c r="O24" s="187" t="s">
        <v>265</v>
      </c>
    </row>
    <row r="25" spans="1:15" ht="18" x14ac:dyDescent="0.25">
      <c r="A25" s="99"/>
      <c r="B25" s="110" t="s">
        <v>232</v>
      </c>
      <c r="C25" s="75"/>
      <c r="D25" s="119">
        <f>VLOOKUP(SensorHFT,HFTtoSIL61511,2)</f>
        <v>3</v>
      </c>
      <c r="E25" s="75"/>
      <c r="F25" s="110" t="s">
        <v>234</v>
      </c>
      <c r="G25" s="75"/>
      <c r="H25" s="75"/>
      <c r="I25" s="75"/>
      <c r="J25" s="75"/>
      <c r="K25" s="75"/>
      <c r="L25" s="75"/>
      <c r="M25" s="75"/>
      <c r="N25" s="75"/>
      <c r="O25" s="119" cm="1">
        <f t="array" ref="O25">IF(SensorSuitability="Evidence not available",0,INDEX(D24:D29,VLOOKUP(O24,HFT_method_index,2,FALSE)))</f>
        <v>3</v>
      </c>
    </row>
    <row r="26" spans="1:15" ht="18" x14ac:dyDescent="0.25">
      <c r="A26" s="99"/>
      <c r="B26" s="110" t="s">
        <v>235</v>
      </c>
      <c r="C26" s="75"/>
      <c r="D26" s="119">
        <f>D25</f>
        <v>3</v>
      </c>
      <c r="E26" s="75"/>
      <c r="F26" s="110" t="s">
        <v>236</v>
      </c>
      <c r="G26" s="75"/>
      <c r="H26" s="75"/>
      <c r="I26" s="75"/>
      <c r="J26" s="75"/>
      <c r="K26" s="75"/>
      <c r="L26" s="75"/>
      <c r="M26" s="75"/>
      <c r="N26" s="75"/>
      <c r="O26" s="75"/>
    </row>
    <row r="27" spans="1:15" ht="18" x14ac:dyDescent="0.35">
      <c r="A27" s="99"/>
      <c r="B27" s="110" t="s">
        <v>334</v>
      </c>
      <c r="C27" s="75"/>
      <c r="D27" s="111">
        <v>1</v>
      </c>
      <c r="E27" s="14" t="s">
        <v>342</v>
      </c>
      <c r="F27" s="194" cm="1">
        <f t="array" aca="1" ref="F27" ca="1">INDIRECT(SensorFMEA&amp;"!ptc")</f>
        <v>0.97179487179487178</v>
      </c>
      <c r="H27" s="110" t="s">
        <v>336</v>
      </c>
      <c r="I27" s="111">
        <v>3</v>
      </c>
      <c r="K27" s="193" t="s">
        <v>338</v>
      </c>
      <c r="L27" s="197">
        <v>0.1</v>
      </c>
      <c r="M27" s="75" t="s">
        <v>341</v>
      </c>
      <c r="N27" s="75"/>
      <c r="O27" s="75"/>
    </row>
    <row r="28" spans="1:15" ht="18" x14ac:dyDescent="0.3">
      <c r="A28" s="99"/>
      <c r="B28" s="110" t="s">
        <v>387</v>
      </c>
      <c r="D28" s="188" t="b">
        <v>0</v>
      </c>
      <c r="E28" s="75"/>
      <c r="H28" s="110" t="s">
        <v>337</v>
      </c>
      <c r="I28" s="111">
        <v>3</v>
      </c>
      <c r="K28" s="193" t="s">
        <v>339</v>
      </c>
      <c r="L28" s="197">
        <v>0.1</v>
      </c>
      <c r="M28" s="75" t="s">
        <v>340</v>
      </c>
      <c r="N28" s="75"/>
      <c r="O28" s="75"/>
    </row>
    <row r="29" spans="1:15" ht="18" x14ac:dyDescent="0.25">
      <c r="A29" s="99"/>
      <c r="B29" s="110" t="s">
        <v>335</v>
      </c>
      <c r="D29" s="111">
        <v>10</v>
      </c>
      <c r="E29" s="75"/>
      <c r="F29" s="110"/>
      <c r="G29" s="75"/>
      <c r="H29" s="75"/>
      <c r="I29" s="75"/>
      <c r="J29" s="75"/>
      <c r="K29" s="75"/>
      <c r="L29" s="75"/>
      <c r="M29" s="75"/>
      <c r="N29" s="75"/>
      <c r="O29" s="75"/>
    </row>
    <row r="30" spans="1:15" ht="18" x14ac:dyDescent="0.25">
      <c r="A30" s="99"/>
      <c r="B30" s="110"/>
      <c r="C30" s="75"/>
      <c r="D30" s="75"/>
      <c r="E30" s="75"/>
      <c r="F30" s="110"/>
      <c r="G30" s="75"/>
      <c r="H30" s="75"/>
      <c r="I30" s="75"/>
      <c r="J30" s="75"/>
      <c r="K30" s="75"/>
      <c r="L30" s="75"/>
      <c r="M30" s="75"/>
      <c r="N30" s="75"/>
      <c r="O30" s="75"/>
    </row>
    <row r="31" spans="1:15" ht="18" x14ac:dyDescent="0.25">
      <c r="A31" s="99" t="s">
        <v>211</v>
      </c>
      <c r="B31" s="75"/>
      <c r="C31" s="75"/>
      <c r="D31" s="75"/>
      <c r="E31" s="75"/>
      <c r="F31" s="75"/>
      <c r="G31" s="75"/>
      <c r="H31" s="75"/>
      <c r="I31" s="75"/>
      <c r="J31" s="75"/>
      <c r="K31" s="75"/>
      <c r="L31" s="75"/>
      <c r="M31" s="75"/>
      <c r="N31" s="75"/>
      <c r="O31" s="75"/>
    </row>
    <row r="32" spans="1:15" x14ac:dyDescent="0.25">
      <c r="A32" s="115"/>
      <c r="B32" s="110" t="s">
        <v>213</v>
      </c>
      <c r="C32" s="75"/>
      <c r="D32" s="75"/>
      <c r="E32" s="75"/>
      <c r="F32" s="75"/>
      <c r="G32" s="75"/>
      <c r="H32" s="75"/>
      <c r="I32" s="75"/>
      <c r="J32" s="75"/>
      <c r="K32" s="75"/>
      <c r="L32" s="75"/>
      <c r="M32" s="75"/>
      <c r="N32" s="75"/>
      <c r="O32" s="75"/>
    </row>
    <row r="33" spans="1:15" ht="33.75" customHeight="1" x14ac:dyDescent="0.25">
      <c r="A33" s="115"/>
      <c r="B33" s="245"/>
      <c r="C33" s="245"/>
      <c r="D33" s="245"/>
      <c r="E33" s="245"/>
      <c r="F33" s="245"/>
      <c r="G33" s="245"/>
      <c r="H33" s="245"/>
      <c r="I33" s="245"/>
      <c r="J33" s="245"/>
      <c r="K33" s="245"/>
      <c r="L33" s="245"/>
      <c r="M33" s="245"/>
      <c r="N33" s="245"/>
      <c r="O33" s="245"/>
    </row>
    <row r="34" spans="1:15" ht="18" x14ac:dyDescent="0.25">
      <c r="A34" s="99"/>
      <c r="B34" s="75"/>
      <c r="C34" s="75"/>
      <c r="D34" s="75"/>
      <c r="E34" s="75"/>
      <c r="F34" s="75"/>
      <c r="G34" s="75"/>
      <c r="H34" s="75"/>
      <c r="I34" s="75"/>
      <c r="J34" s="75"/>
      <c r="K34" s="75"/>
      <c r="L34" s="75"/>
      <c r="M34" s="75"/>
      <c r="N34" s="75"/>
      <c r="O34" s="75"/>
    </row>
    <row r="35" spans="1:15" ht="18" x14ac:dyDescent="0.25">
      <c r="A35" s="99"/>
      <c r="B35" s="110" t="s">
        <v>160</v>
      </c>
      <c r="C35" s="75"/>
      <c r="D35" s="75"/>
      <c r="E35" s="244" t="s">
        <v>185</v>
      </c>
      <c r="F35" s="244"/>
      <c r="G35" s="75"/>
      <c r="H35" s="75"/>
      <c r="I35" s="110" t="s">
        <v>89</v>
      </c>
      <c r="J35" s="116" t="str" cm="1">
        <f t="array" aca="1" ref="J35" ca="1">INDIRECT(SolverFMEA&amp;"!Eqpt_ID")</f>
        <v>Solver1</v>
      </c>
      <c r="K35" s="75"/>
      <c r="L35" s="75"/>
      <c r="M35" s="75"/>
      <c r="N35" s="75"/>
      <c r="O35" s="75"/>
    </row>
    <row r="36" spans="1:15" ht="18" x14ac:dyDescent="0.25">
      <c r="A36" s="99"/>
      <c r="B36" s="110" t="s">
        <v>154</v>
      </c>
      <c r="C36" s="75"/>
      <c r="D36" s="75"/>
      <c r="E36" s="75" t="s">
        <v>162</v>
      </c>
      <c r="F36" s="75"/>
      <c r="G36" s="75"/>
      <c r="H36" s="75"/>
      <c r="I36" s="75"/>
      <c r="J36" s="75"/>
      <c r="K36" s="75"/>
      <c r="L36" s="75"/>
      <c r="M36" s="75"/>
      <c r="N36" s="75"/>
      <c r="O36" s="75"/>
    </row>
    <row r="37" spans="1:15" ht="18" x14ac:dyDescent="0.25">
      <c r="A37" s="99"/>
      <c r="B37" s="242" t="str" cm="1">
        <f t="array" aca="1" ref="B37" ca="1">INDIRECT(SolverFMEA&amp;"!Manufacturers_and_models")</f>
        <v>Generic 2oo3</v>
      </c>
      <c r="C37" s="242"/>
      <c r="D37" s="242"/>
      <c r="E37" s="242"/>
      <c r="F37" s="242"/>
      <c r="G37" s="242"/>
      <c r="H37" s="242"/>
      <c r="I37" s="242"/>
      <c r="J37" s="242"/>
      <c r="K37" s="242"/>
      <c r="L37" s="242"/>
      <c r="M37" s="242"/>
      <c r="N37" s="242"/>
      <c r="O37" s="242"/>
    </row>
    <row r="38" spans="1:15" ht="18" x14ac:dyDescent="0.25">
      <c r="A38" s="99"/>
      <c r="B38" s="110" t="s">
        <v>52</v>
      </c>
      <c r="C38" s="75"/>
      <c r="D38" s="75"/>
      <c r="E38" s="75"/>
      <c r="F38" s="75"/>
      <c r="G38" s="75"/>
      <c r="H38" s="75"/>
      <c r="I38" s="75"/>
      <c r="J38" s="75"/>
      <c r="K38" s="75"/>
      <c r="L38" s="75"/>
      <c r="M38" s="75"/>
      <c r="N38" s="75"/>
      <c r="O38" s="75"/>
    </row>
    <row r="39" spans="1:15" ht="18" x14ac:dyDescent="0.25">
      <c r="A39" s="99"/>
      <c r="B39" s="242" t="str" cm="1">
        <f t="array" aca="1" ref="B39" ca="1">INDIRECT(SolverFMEA&amp;"!references")</f>
        <v>Quote references sources here</v>
      </c>
      <c r="C39" s="242"/>
      <c r="D39" s="242"/>
      <c r="E39" s="242"/>
      <c r="F39" s="242"/>
      <c r="G39" s="242"/>
      <c r="H39" s="242"/>
      <c r="I39" s="242"/>
      <c r="J39" s="242"/>
      <c r="K39" s="242"/>
      <c r="L39" s="242"/>
      <c r="M39" s="242"/>
      <c r="N39" s="242"/>
      <c r="O39" s="242"/>
    </row>
    <row r="40" spans="1:15" ht="18" x14ac:dyDescent="0.25">
      <c r="A40" s="99"/>
      <c r="B40" s="110" t="s">
        <v>54</v>
      </c>
      <c r="C40" s="75"/>
      <c r="D40" s="75"/>
      <c r="E40" s="75"/>
      <c r="F40" s="246" t="s">
        <v>277</v>
      </c>
      <c r="G40" s="246"/>
      <c r="H40" s="75"/>
      <c r="I40" s="75"/>
      <c r="J40" s="75"/>
      <c r="K40" s="110" t="s">
        <v>292</v>
      </c>
      <c r="L40" s="75"/>
      <c r="M40" s="75"/>
      <c r="N40" s="75"/>
      <c r="O40" s="188">
        <v>3</v>
      </c>
    </row>
    <row r="41" spans="1:15" ht="18" x14ac:dyDescent="0.25">
      <c r="A41" s="99"/>
      <c r="B41" s="242" t="str" cm="1">
        <f t="array" aca="1" ref="B41" ca="1">INDIRECT(SolverFMEA&amp;"!Suitability")</f>
        <v>Refer to either a safety manual or to a prior use analysis report</v>
      </c>
      <c r="C41" s="242"/>
      <c r="D41" s="242"/>
      <c r="E41" s="242"/>
      <c r="F41" s="242"/>
      <c r="G41" s="242"/>
      <c r="H41" s="242"/>
      <c r="I41" s="242"/>
      <c r="J41" s="242"/>
      <c r="K41" s="242"/>
      <c r="L41" s="242"/>
      <c r="M41" s="242"/>
      <c r="N41" s="242"/>
      <c r="O41" s="242"/>
    </row>
    <row r="42" spans="1:15" ht="18.75" x14ac:dyDescent="0.25">
      <c r="A42" s="75"/>
      <c r="B42" s="117" t="s">
        <v>280</v>
      </c>
      <c r="C42" s="75"/>
      <c r="D42" s="75"/>
      <c r="E42" s="75"/>
      <c r="F42" s="75"/>
      <c r="G42" s="75"/>
      <c r="H42" s="75"/>
      <c r="I42" s="75"/>
      <c r="J42" s="75"/>
      <c r="K42" s="75"/>
      <c r="L42" s="75"/>
      <c r="M42" s="75"/>
      <c r="N42" s="75"/>
      <c r="O42" s="75"/>
    </row>
    <row r="43" spans="1:15" ht="18" x14ac:dyDescent="0.25">
      <c r="A43" s="99"/>
      <c r="B43" s="110" t="s">
        <v>231</v>
      </c>
      <c r="C43" s="75"/>
      <c r="D43" s="111">
        <v>2</v>
      </c>
      <c r="E43" s="83" t="s">
        <v>332</v>
      </c>
      <c r="F43" s="111">
        <v>3</v>
      </c>
      <c r="I43" s="55" t="s">
        <v>166</v>
      </c>
      <c r="J43" s="73"/>
      <c r="K43" s="118">
        <f>SolverN-SolverM</f>
        <v>1</v>
      </c>
      <c r="L43" s="75"/>
      <c r="M43" s="75"/>
      <c r="N43" s="75"/>
      <c r="O43" s="75"/>
    </row>
    <row r="44" spans="1:15" ht="18" x14ac:dyDescent="0.25">
      <c r="A44" s="99"/>
      <c r="B44" s="110" t="s">
        <v>230</v>
      </c>
      <c r="C44" s="75"/>
      <c r="D44" s="119" cm="1">
        <f t="array" aca="1" ref="D44" ca="1">INDEX(Route1H_Tables,K44,SolverHFT+2)</f>
        <v>3</v>
      </c>
      <c r="E44" s="75"/>
      <c r="F44" s="55" t="s">
        <v>233</v>
      </c>
      <c r="G44" s="75"/>
      <c r="H44" s="118" t="str" cm="1">
        <f t="array" aca="1" ref="H44" ca="1">INDIRECT(SolverFMEA&amp;"!HFTType")</f>
        <v>Type B</v>
      </c>
      <c r="I44" s="73" t="s">
        <v>125</v>
      </c>
      <c r="J44" s="120">
        <f ca="1">VLOOKUP(SelectedSolver,SubSysTable,23,FALSE)</f>
        <v>0.95454545454545447</v>
      </c>
      <c r="K44" s="121">
        <f ca="1">IF(H44="Type A",MATCH(J44,SFFRange,1),MATCH(J44,SFFRange,1)+10)</f>
        <v>13</v>
      </c>
      <c r="L44" s="75"/>
      <c r="M44" s="110" t="s">
        <v>261</v>
      </c>
      <c r="N44" s="75"/>
      <c r="O44" s="187" t="s">
        <v>266</v>
      </c>
    </row>
    <row r="45" spans="1:15" ht="18" x14ac:dyDescent="0.25">
      <c r="A45" s="99"/>
      <c r="B45" s="110" t="s">
        <v>232</v>
      </c>
      <c r="C45" s="75"/>
      <c r="D45" s="119">
        <f>VLOOKUP(SolverHFT,HFTtoSIL61511,2)</f>
        <v>3</v>
      </c>
      <c r="E45" s="75"/>
      <c r="F45" s="110" t="s">
        <v>234</v>
      </c>
      <c r="G45" s="75"/>
      <c r="H45" s="75"/>
      <c r="I45" s="75"/>
      <c r="J45" s="75"/>
      <c r="K45" s="75"/>
      <c r="L45" s="75"/>
      <c r="M45" s="75"/>
      <c r="N45" s="75"/>
      <c r="O45" s="119" cm="1">
        <f t="array" aca="1" ref="O45" ca="1">IF(SolverSuitability="Evidence not available",0,INDEX(D44:D46,VLOOKUP(O44,HFT_method_index,2,FALSE)))</f>
        <v>3</v>
      </c>
    </row>
    <row r="46" spans="1:15" ht="18" x14ac:dyDescent="0.25">
      <c r="A46" s="99"/>
      <c r="B46" s="110" t="s">
        <v>235</v>
      </c>
      <c r="C46" s="75"/>
      <c r="D46" s="119">
        <f>D45</f>
        <v>3</v>
      </c>
      <c r="E46" s="75"/>
      <c r="F46" s="110" t="s">
        <v>236</v>
      </c>
      <c r="G46" s="75"/>
      <c r="H46" s="75"/>
      <c r="I46" s="75"/>
      <c r="J46" s="75"/>
      <c r="K46" s="75"/>
      <c r="L46" s="75"/>
      <c r="M46" s="75"/>
      <c r="N46" s="75"/>
      <c r="O46" s="75"/>
    </row>
    <row r="47" spans="1:15" ht="18" x14ac:dyDescent="0.35">
      <c r="A47" s="99"/>
      <c r="B47" s="110" t="s">
        <v>334</v>
      </c>
      <c r="C47" s="75"/>
      <c r="D47" s="111">
        <v>1</v>
      </c>
      <c r="E47" s="14" t="s">
        <v>342</v>
      </c>
      <c r="F47" s="194" cm="1">
        <f t="array" aca="1" ref="F47" ca="1">INDIRECT(SolverFMEA&amp;"!ptc")</f>
        <v>1</v>
      </c>
      <c r="H47" s="110" t="s">
        <v>336</v>
      </c>
      <c r="I47" s="111">
        <v>3</v>
      </c>
      <c r="K47" s="193" t="s">
        <v>338</v>
      </c>
      <c r="L47" s="197">
        <v>0.05</v>
      </c>
      <c r="M47" s="75" t="s">
        <v>341</v>
      </c>
      <c r="N47" s="75"/>
      <c r="O47" s="75"/>
    </row>
    <row r="48" spans="1:15" ht="18" x14ac:dyDescent="0.3">
      <c r="A48" s="99"/>
      <c r="B48" s="110" t="s">
        <v>335</v>
      </c>
      <c r="D48" s="111">
        <v>10</v>
      </c>
      <c r="E48" s="75"/>
      <c r="H48" s="110" t="s">
        <v>337</v>
      </c>
      <c r="I48" s="111">
        <v>3</v>
      </c>
      <c r="K48" s="193" t="s">
        <v>339</v>
      </c>
      <c r="L48" s="197">
        <v>0.05</v>
      </c>
      <c r="M48" s="75" t="s">
        <v>340</v>
      </c>
      <c r="N48" s="75"/>
      <c r="O48" s="75"/>
    </row>
    <row r="49" spans="1:15" x14ac:dyDescent="0.25">
      <c r="A49" s="75"/>
      <c r="B49" s="75"/>
      <c r="C49" s="75"/>
      <c r="D49" s="75"/>
      <c r="E49" s="75"/>
      <c r="F49" s="75"/>
      <c r="G49" s="75"/>
      <c r="H49" s="75"/>
      <c r="I49" s="75"/>
      <c r="J49" s="75"/>
      <c r="K49" s="75"/>
      <c r="L49" s="75"/>
      <c r="M49" s="75"/>
      <c r="N49" s="75"/>
      <c r="O49" s="75"/>
    </row>
    <row r="50" spans="1:15" ht="18" x14ac:dyDescent="0.25">
      <c r="A50" s="99" t="s">
        <v>212</v>
      </c>
      <c r="B50" s="75"/>
      <c r="C50" s="75"/>
      <c r="D50" s="75"/>
      <c r="E50" s="75"/>
      <c r="F50" s="75"/>
      <c r="G50" s="75"/>
      <c r="H50" s="75"/>
      <c r="I50" s="75"/>
      <c r="J50" s="75"/>
      <c r="K50" s="75"/>
      <c r="L50" s="75"/>
      <c r="M50" s="75"/>
      <c r="N50" s="75"/>
      <c r="O50" s="75"/>
    </row>
    <row r="51" spans="1:15" x14ac:dyDescent="0.25">
      <c r="A51" s="115"/>
      <c r="B51" s="110" t="s">
        <v>209</v>
      </c>
      <c r="C51" s="75"/>
      <c r="D51" s="75"/>
      <c r="E51" s="75"/>
      <c r="F51" s="75"/>
      <c r="G51" s="75"/>
      <c r="H51" s="75"/>
      <c r="I51" s="75"/>
      <c r="J51" s="75"/>
      <c r="K51" s="75"/>
      <c r="L51" s="75"/>
      <c r="M51" s="75"/>
      <c r="N51" s="75"/>
      <c r="O51" s="75"/>
    </row>
    <row r="52" spans="1:15" ht="36" customHeight="1" x14ac:dyDescent="0.25">
      <c r="A52" s="115"/>
      <c r="B52" s="245"/>
      <c r="C52" s="245"/>
      <c r="D52" s="245"/>
      <c r="E52" s="245"/>
      <c r="F52" s="245"/>
      <c r="G52" s="245"/>
      <c r="H52" s="245"/>
      <c r="I52" s="245"/>
      <c r="J52" s="245"/>
      <c r="K52" s="245"/>
      <c r="L52" s="245"/>
      <c r="M52" s="245"/>
      <c r="N52" s="245"/>
      <c r="O52" s="245"/>
    </row>
    <row r="53" spans="1:15" ht="18" x14ac:dyDescent="0.25">
      <c r="A53" s="99"/>
      <c r="B53" s="75"/>
      <c r="C53" s="75"/>
      <c r="D53" s="75"/>
      <c r="E53" s="75"/>
      <c r="F53" s="75"/>
      <c r="G53" s="75"/>
      <c r="H53" s="75"/>
      <c r="I53" s="75"/>
      <c r="J53" s="75"/>
      <c r="K53" s="75"/>
      <c r="L53" s="75"/>
      <c r="M53" s="75"/>
      <c r="N53" s="75"/>
      <c r="O53" s="75"/>
    </row>
    <row r="54" spans="1:15" ht="18" x14ac:dyDescent="0.25">
      <c r="A54" s="99"/>
      <c r="B54" s="110" t="s">
        <v>160</v>
      </c>
      <c r="C54" s="75"/>
      <c r="D54" s="75"/>
      <c r="E54" s="244" t="s">
        <v>208</v>
      </c>
      <c r="F54" s="244"/>
      <c r="G54" s="75"/>
      <c r="H54" s="75"/>
      <c r="I54" s="110" t="s">
        <v>89</v>
      </c>
      <c r="J54" s="116" t="str" cm="1">
        <f t="array" aca="1" ref="J54" ca="1">INDIRECT(FE_FMEA&amp;"!Eqpt_ID")</f>
        <v>FE01</v>
      </c>
      <c r="K54" s="75"/>
      <c r="L54" s="75"/>
      <c r="M54" s="75"/>
      <c r="N54" s="75"/>
      <c r="O54" s="75"/>
    </row>
    <row r="55" spans="1:15" ht="18" x14ac:dyDescent="0.25">
      <c r="A55" s="99"/>
      <c r="B55" s="110" t="s">
        <v>154</v>
      </c>
      <c r="C55" s="75"/>
      <c r="D55" s="75"/>
      <c r="E55" s="75"/>
      <c r="F55" s="75"/>
      <c r="G55" s="75"/>
      <c r="H55" s="75"/>
      <c r="I55" s="75"/>
      <c r="J55" s="75"/>
      <c r="K55" s="75"/>
      <c r="L55" s="75"/>
      <c r="M55" s="75"/>
      <c r="N55" s="75"/>
      <c r="O55" s="75"/>
    </row>
    <row r="56" spans="1:15" ht="18" x14ac:dyDescent="0.25">
      <c r="A56" s="99"/>
      <c r="B56" s="242" t="str" cm="1">
        <f t="array" aca="1" ref="B56" ca="1">INDIRECT(FE_FMEA&amp;"!Manufacturers_and_models")</f>
        <v xml:space="preserve">Generic data </v>
      </c>
      <c r="C56" s="242"/>
      <c r="D56" s="242"/>
      <c r="E56" s="242"/>
      <c r="F56" s="242"/>
      <c r="G56" s="242"/>
      <c r="H56" s="242"/>
      <c r="I56" s="242"/>
      <c r="J56" s="242"/>
      <c r="K56" s="242"/>
      <c r="L56" s="242"/>
      <c r="M56" s="242"/>
      <c r="N56" s="242"/>
      <c r="O56" s="242"/>
    </row>
    <row r="57" spans="1:15" ht="18" x14ac:dyDescent="0.25">
      <c r="A57" s="99"/>
      <c r="B57" s="110" t="s">
        <v>52</v>
      </c>
      <c r="C57" s="75"/>
      <c r="D57" s="75"/>
      <c r="E57" s="75"/>
      <c r="F57" s="75"/>
      <c r="G57" s="75"/>
      <c r="H57" s="75"/>
      <c r="I57" s="75"/>
      <c r="J57" s="75"/>
      <c r="K57" s="75"/>
      <c r="L57" s="75"/>
      <c r="M57" s="75"/>
      <c r="N57" s="75"/>
      <c r="O57" s="75"/>
    </row>
    <row r="58" spans="1:15" ht="18" x14ac:dyDescent="0.25">
      <c r="A58" s="99"/>
      <c r="B58" s="242" t="str" cm="1">
        <f t="array" aca="1" ref="B58" ca="1">INDIRECT(FE_FMEA&amp;"!references")</f>
        <v>Quote references sources here</v>
      </c>
      <c r="C58" s="242"/>
      <c r="D58" s="242"/>
      <c r="E58" s="242"/>
      <c r="F58" s="242"/>
      <c r="G58" s="242"/>
      <c r="H58" s="242"/>
      <c r="I58" s="242"/>
      <c r="J58" s="242"/>
      <c r="K58" s="242"/>
      <c r="L58" s="242"/>
      <c r="M58" s="242"/>
      <c r="N58" s="242"/>
      <c r="O58" s="242"/>
    </row>
    <row r="59" spans="1:15" ht="18" x14ac:dyDescent="0.25">
      <c r="A59" s="99"/>
      <c r="B59" s="110" t="s">
        <v>54</v>
      </c>
      <c r="C59" s="75"/>
      <c r="D59" s="75"/>
      <c r="E59" s="75"/>
      <c r="F59" s="246" t="s">
        <v>276</v>
      </c>
      <c r="G59" s="246"/>
      <c r="H59" s="75"/>
      <c r="I59" s="75"/>
      <c r="J59" s="75"/>
      <c r="K59" s="110" t="s">
        <v>292</v>
      </c>
      <c r="L59" s="75"/>
      <c r="M59" s="75"/>
      <c r="N59" s="75"/>
      <c r="O59" s="188">
        <v>0</v>
      </c>
    </row>
    <row r="60" spans="1:15" ht="18" x14ac:dyDescent="0.25">
      <c r="A60" s="99"/>
      <c r="B60" s="242" t="str" cm="1">
        <f t="array" aca="1" ref="B60" ca="1">INDIRECT(FE_FMEA&amp;"!Suitability")</f>
        <v>Refer to either a safety manual or to a prior use analysis report</v>
      </c>
      <c r="C60" s="242"/>
      <c r="D60" s="242"/>
      <c r="E60" s="242"/>
      <c r="F60" s="242"/>
      <c r="G60" s="242"/>
      <c r="H60" s="242"/>
      <c r="I60" s="242"/>
      <c r="J60" s="242"/>
      <c r="K60" s="242"/>
      <c r="L60" s="242"/>
      <c r="M60" s="242"/>
      <c r="N60" s="242"/>
      <c r="O60" s="242"/>
    </row>
    <row r="61" spans="1:15" ht="18.75" x14ac:dyDescent="0.25">
      <c r="A61" s="75"/>
      <c r="B61" s="117" t="s">
        <v>280</v>
      </c>
      <c r="C61" s="75"/>
      <c r="D61" s="75"/>
      <c r="E61" s="75"/>
      <c r="F61" s="75"/>
      <c r="G61" s="75"/>
      <c r="H61" s="75"/>
      <c r="I61" s="75"/>
      <c r="J61" s="75"/>
      <c r="K61" s="75"/>
      <c r="L61" s="75"/>
      <c r="M61" s="75"/>
      <c r="N61" s="75"/>
      <c r="O61" s="75"/>
    </row>
    <row r="62" spans="1:15" ht="18" x14ac:dyDescent="0.25">
      <c r="A62" s="99"/>
      <c r="B62" s="110" t="s">
        <v>231</v>
      </c>
      <c r="C62" s="75"/>
      <c r="D62" s="111">
        <v>1</v>
      </c>
      <c r="E62" s="83" t="s">
        <v>332</v>
      </c>
      <c r="F62" s="111">
        <v>2</v>
      </c>
      <c r="I62" s="55" t="s">
        <v>166</v>
      </c>
      <c r="J62" s="75"/>
      <c r="K62" s="118">
        <f>FE_N-FE_M</f>
        <v>1</v>
      </c>
      <c r="L62" s="75"/>
      <c r="M62" s="75"/>
      <c r="N62" s="75"/>
      <c r="O62" s="75"/>
    </row>
    <row r="63" spans="1:15" ht="18" x14ac:dyDescent="0.25">
      <c r="A63" s="99"/>
      <c r="B63" s="110" t="s">
        <v>230</v>
      </c>
      <c r="C63" s="75"/>
      <c r="D63" s="119" cm="1">
        <f t="array" aca="1" ref="D63" ca="1">INDEX(Route1H_Tables,K63,FE_HFT+2)</f>
        <v>2</v>
      </c>
      <c r="E63" s="75"/>
      <c r="F63" s="55" t="s">
        <v>233</v>
      </c>
      <c r="G63" s="75"/>
      <c r="H63" s="118" t="str" cm="1">
        <f t="array" aca="1" ref="H63" ca="1">INDIRECT(FE_FMEA&amp;"!HFTType")</f>
        <v>Type A</v>
      </c>
      <c r="I63" s="73" t="s">
        <v>125</v>
      </c>
      <c r="J63" s="120">
        <f ca="1">VLOOKUP(SelectedFEsystem,SubSysTable,23,FALSE)</f>
        <v>0.20689655172413796</v>
      </c>
      <c r="K63" s="121">
        <f ca="1">IF(H63="Type A",MATCH(J63,SFFRange,1),MATCH(J63,SFFRange,1)+10)</f>
        <v>1</v>
      </c>
      <c r="L63" s="75"/>
      <c r="M63" s="110" t="s">
        <v>261</v>
      </c>
      <c r="N63" s="75"/>
      <c r="O63" s="187" t="s">
        <v>265</v>
      </c>
    </row>
    <row r="64" spans="1:15" ht="18" x14ac:dyDescent="0.25">
      <c r="A64" s="99"/>
      <c r="B64" s="110" t="s">
        <v>232</v>
      </c>
      <c r="C64" s="75"/>
      <c r="D64" s="119">
        <f>VLOOKUP(K62,HFTtoSIL61511,2)</f>
        <v>3</v>
      </c>
      <c r="E64" s="75"/>
      <c r="F64" s="110" t="s">
        <v>234</v>
      </c>
      <c r="G64" s="75"/>
      <c r="H64" s="75"/>
      <c r="I64" s="75"/>
      <c r="J64" s="75"/>
      <c r="K64" s="75"/>
      <c r="L64" s="75"/>
      <c r="M64" s="75"/>
      <c r="N64" s="75"/>
      <c r="O64" s="119" cm="1">
        <f t="array" ref="O64">IF(FESuitability="Evidence not available",0,INDEX(D63:D65,VLOOKUP(O63,HFT_method_index,2,FALSE)))</f>
        <v>3</v>
      </c>
    </row>
    <row r="65" spans="1:18" ht="18" x14ac:dyDescent="0.25">
      <c r="A65" s="99"/>
      <c r="B65" s="110" t="s">
        <v>235</v>
      </c>
      <c r="C65" s="75"/>
      <c r="D65" s="119">
        <f>D64</f>
        <v>3</v>
      </c>
      <c r="E65" s="75"/>
      <c r="F65" s="110" t="s">
        <v>236</v>
      </c>
      <c r="G65" s="75"/>
      <c r="H65" s="75"/>
      <c r="I65" s="75"/>
      <c r="J65" s="75"/>
      <c r="K65" s="75"/>
      <c r="L65" s="75"/>
      <c r="M65" s="75"/>
      <c r="N65" s="75"/>
      <c r="O65" s="75"/>
    </row>
    <row r="66" spans="1:18" ht="18" x14ac:dyDescent="0.35">
      <c r="A66" s="99"/>
      <c r="B66" s="110" t="s">
        <v>334</v>
      </c>
      <c r="C66" s="75"/>
      <c r="D66" s="111">
        <v>1</v>
      </c>
      <c r="E66" s="14" t="s">
        <v>342</v>
      </c>
      <c r="F66" s="194" cm="1">
        <f t="array" aca="1" ref="F66" ca="1">INDIRECT(FE_FMEA&amp;"!ptc")</f>
        <v>0.97826086956521741</v>
      </c>
      <c r="H66" s="110" t="s">
        <v>336</v>
      </c>
      <c r="I66" s="111">
        <v>3</v>
      </c>
      <c r="K66" s="193" t="s">
        <v>338</v>
      </c>
      <c r="L66" s="197">
        <v>0.1</v>
      </c>
      <c r="M66" s="75" t="s">
        <v>341</v>
      </c>
      <c r="N66" s="75"/>
      <c r="O66" s="75"/>
    </row>
    <row r="67" spans="1:18" ht="18" x14ac:dyDescent="0.3">
      <c r="A67" s="99"/>
      <c r="B67" s="110" t="s">
        <v>387</v>
      </c>
      <c r="D67" s="188" t="b">
        <v>0</v>
      </c>
      <c r="E67" s="75"/>
      <c r="H67" s="110" t="s">
        <v>337</v>
      </c>
      <c r="I67" s="111">
        <v>3</v>
      </c>
      <c r="K67" s="193" t="s">
        <v>339</v>
      </c>
      <c r="L67" s="197">
        <v>0.1</v>
      </c>
      <c r="M67" s="75" t="s">
        <v>340</v>
      </c>
      <c r="N67" s="75"/>
      <c r="O67" s="75"/>
    </row>
    <row r="68" spans="1:18" ht="18" x14ac:dyDescent="0.25">
      <c r="A68" s="99"/>
      <c r="B68" s="110" t="s">
        <v>335</v>
      </c>
      <c r="D68" s="111">
        <v>10</v>
      </c>
      <c r="E68" s="75"/>
      <c r="F68" s="75"/>
      <c r="G68" s="75"/>
      <c r="H68" s="75"/>
      <c r="I68" s="75"/>
      <c r="J68" s="75"/>
      <c r="K68" s="75"/>
      <c r="L68" s="75"/>
      <c r="M68" s="75"/>
      <c r="N68" s="75"/>
      <c r="O68" s="75"/>
    </row>
    <row r="69" spans="1:18" ht="18" x14ac:dyDescent="0.25">
      <c r="A69" s="99"/>
      <c r="B69" s="75"/>
      <c r="C69" s="75"/>
      <c r="D69" s="75"/>
      <c r="E69" s="75"/>
      <c r="F69" s="75"/>
      <c r="G69" s="75"/>
      <c r="H69" s="75"/>
      <c r="I69" s="75"/>
      <c r="J69" s="75"/>
      <c r="K69" s="123"/>
      <c r="L69" s="75"/>
      <c r="M69" s="75"/>
      <c r="N69" s="75"/>
      <c r="O69" s="75"/>
    </row>
    <row r="70" spans="1:18" ht="21" x14ac:dyDescent="0.25">
      <c r="A70" s="109" t="s">
        <v>175</v>
      </c>
      <c r="B70" s="113"/>
      <c r="C70" s="113"/>
      <c r="D70" s="113"/>
      <c r="E70" s="247" t="str">
        <f>SF_ID</f>
        <v>SF 001</v>
      </c>
      <c r="F70" s="247"/>
      <c r="G70" s="113"/>
      <c r="H70" s="113"/>
      <c r="I70" s="114" t="s">
        <v>287</v>
      </c>
      <c r="J70" s="151">
        <f>SIL_target</f>
        <v>2</v>
      </c>
      <c r="K70" s="113"/>
      <c r="L70" s="109"/>
      <c r="M70" s="113"/>
      <c r="N70" s="114" t="s">
        <v>180</v>
      </c>
      <c r="O70" s="150">
        <f>RRF_target</f>
        <v>300</v>
      </c>
    </row>
    <row r="71" spans="1:18" ht="21" x14ac:dyDescent="0.25">
      <c r="A71" s="75"/>
      <c r="B71" s="75"/>
      <c r="C71" s="75"/>
      <c r="D71" s="75"/>
      <c r="E71" s="75"/>
      <c r="F71" s="75"/>
      <c r="G71" s="75"/>
      <c r="H71" s="75"/>
      <c r="I71" s="114" t="s">
        <v>345</v>
      </c>
      <c r="J71" s="151">
        <f ca="1">VLOOKUP(RRF,RRFtoSIL,2,TRUE)</f>
        <v>2</v>
      </c>
      <c r="K71" s="75"/>
      <c r="L71" s="75"/>
      <c r="M71" s="75"/>
      <c r="N71" s="114" t="s">
        <v>286</v>
      </c>
      <c r="O71" s="150">
        <f ca="1">RRF</f>
        <v>600</v>
      </c>
    </row>
    <row r="72" spans="1:18" ht="21" x14ac:dyDescent="0.25">
      <c r="B72" s="75"/>
      <c r="C72" s="75"/>
      <c r="D72" s="75"/>
      <c r="F72" s="75"/>
      <c r="G72" s="75"/>
      <c r="H72" s="75"/>
      <c r="I72" s="114" t="s">
        <v>344</v>
      </c>
      <c r="J72" s="151">
        <f ca="1">MIN(SensorSILlimit,SolverSILlimit,FESILlimit)</f>
        <v>3</v>
      </c>
      <c r="K72" s="114"/>
      <c r="L72" s="114"/>
      <c r="M72" s="114"/>
      <c r="N72" s="114"/>
      <c r="O72" s="114"/>
    </row>
    <row r="73" spans="1:18" ht="21" x14ac:dyDescent="0.25">
      <c r="A73" s="75"/>
      <c r="B73" s="75"/>
      <c r="C73" s="75"/>
      <c r="D73" s="75"/>
      <c r="E73" s="75"/>
      <c r="F73" s="75"/>
      <c r="G73" s="75"/>
      <c r="H73" s="75"/>
      <c r="I73" s="153"/>
      <c r="J73" s="114"/>
      <c r="K73" s="114"/>
      <c r="L73" s="114"/>
      <c r="M73" s="114"/>
      <c r="N73" s="114"/>
      <c r="O73" s="114"/>
    </row>
    <row r="74" spans="1:18" ht="20.25" x14ac:dyDescent="0.3">
      <c r="A74" s="163" t="s">
        <v>281</v>
      </c>
    </row>
    <row r="75" spans="1:18" ht="20.25" x14ac:dyDescent="0.3">
      <c r="A75" s="163"/>
    </row>
    <row r="76" spans="1:18" ht="15.75" thickBot="1" x14ac:dyDescent="0.3">
      <c r="C76" s="75"/>
      <c r="D76" s="75"/>
      <c r="E76" s="75"/>
      <c r="F76" s="75"/>
      <c r="G76" s="75"/>
      <c r="H76" s="75"/>
      <c r="I76" s="75"/>
      <c r="J76" s="75"/>
      <c r="K76" s="75"/>
      <c r="L76" s="75"/>
      <c r="M76" s="75"/>
      <c r="N76" s="75"/>
      <c r="O76" s="75"/>
    </row>
    <row r="77" spans="1:18" ht="19.5" thickBot="1" x14ac:dyDescent="0.3">
      <c r="C77" s="75"/>
      <c r="D77" s="168" t="str">
        <f ca="1">SelectedSensorSystem</f>
        <v>PZHH01</v>
      </c>
      <c r="E77" s="92"/>
      <c r="F77" s="168" t="str">
        <f ca="1">SelectedSolver</f>
        <v>Solver1</v>
      </c>
      <c r="G77" s="92"/>
      <c r="H77" s="168" t="str">
        <f ca="1">SelectedFEsystem</f>
        <v>FE01</v>
      </c>
      <c r="I77" s="75"/>
      <c r="J77" s="75"/>
      <c r="K77" s="75"/>
      <c r="L77" s="75"/>
      <c r="M77" s="75"/>
      <c r="N77" s="117"/>
      <c r="O77" s="75"/>
    </row>
    <row r="78" spans="1:18" ht="18.75" x14ac:dyDescent="0.25">
      <c r="C78" s="75"/>
      <c r="D78" s="166" t="str">
        <f>SensorM&amp;"oo"&amp;SensorN</f>
        <v>1oo2</v>
      </c>
      <c r="E78" s="92"/>
      <c r="F78" s="166" t="str">
        <f>SolverM&amp;"oo"&amp;SolverN</f>
        <v>2oo3</v>
      </c>
      <c r="G78" s="92"/>
      <c r="H78" s="166" t="str">
        <f>FE_M&amp;"oo"&amp;FE_N</f>
        <v>1oo2</v>
      </c>
      <c r="I78" s="75"/>
      <c r="J78" s="75"/>
      <c r="K78" s="75"/>
      <c r="L78" s="75"/>
      <c r="M78" s="75"/>
      <c r="N78" s="117"/>
      <c r="O78" s="75"/>
    </row>
    <row r="79" spans="1:18" ht="18.75" x14ac:dyDescent="0.25">
      <c r="C79" s="75"/>
      <c r="D79" s="166"/>
      <c r="E79" s="92"/>
      <c r="F79" s="166"/>
      <c r="G79" s="92"/>
      <c r="H79" s="166"/>
      <c r="I79" s="75"/>
      <c r="J79" s="75"/>
      <c r="K79" s="75"/>
      <c r="L79" s="75"/>
      <c r="M79" s="75"/>
      <c r="N79" s="117"/>
      <c r="O79" s="75"/>
    </row>
    <row r="80" spans="1:18" ht="21" x14ac:dyDescent="0.35">
      <c r="A80" s="155" t="s">
        <v>283</v>
      </c>
      <c r="C80" s="75"/>
      <c r="D80" s="172">
        <f ca="1">VLOOKUP(D77,SubSysTable,2,FALSE)</f>
        <v>2.3000000000000001E-4</v>
      </c>
      <c r="E80" s="173"/>
      <c r="F80" s="172">
        <f ca="1">VLOOKUP(F77,SubSysTable,2,FALSE)</f>
        <v>2.1999999999999999E-5</v>
      </c>
      <c r="G80" s="173"/>
      <c r="H80" s="172">
        <f ca="1">VLOOKUP(H77,SubSysTable,2,FALSE)</f>
        <v>1.4E-3</v>
      </c>
      <c r="I80" s="167"/>
      <c r="J80" s="75"/>
      <c r="K80" s="75"/>
      <c r="L80" s="164" t="s">
        <v>284</v>
      </c>
      <c r="M80" s="152"/>
      <c r="N80" s="230">
        <f ca="1">ROUND(SUM(SubSystemPFDs),D91-1-INT(LOG10(SUM(SubSystemPFDs))))</f>
        <v>2E-3</v>
      </c>
      <c r="O80" s="75"/>
      <c r="R80" s="62"/>
    </row>
    <row r="81" spans="1:18" ht="18.75" x14ac:dyDescent="0.25">
      <c r="A81" s="152"/>
      <c r="C81" s="75"/>
      <c r="D81" s="174"/>
      <c r="E81" s="174"/>
      <c r="F81" s="174"/>
      <c r="G81" s="174"/>
      <c r="H81" s="174"/>
      <c r="I81" s="167"/>
      <c r="J81" s="75"/>
      <c r="K81" s="75"/>
      <c r="L81" s="154"/>
      <c r="M81" s="152"/>
      <c r="N81" s="3"/>
      <c r="O81" s="75"/>
    </row>
    <row r="82" spans="1:18" ht="18.75" x14ac:dyDescent="0.25">
      <c r="A82" s="157" t="s">
        <v>282</v>
      </c>
      <c r="C82" s="75"/>
      <c r="D82" s="172">
        <f ca="1">VLOOKUP(D77,SubSysTable,33,FALSE)</f>
        <v>8.0592000000000007E-3</v>
      </c>
      <c r="E82" s="173"/>
      <c r="F82" s="172">
        <f ca="1">VLOOKUP(F77,SubSysTable,33,FALSE)</f>
        <v>3.2859460800000003E-5</v>
      </c>
      <c r="G82" s="173"/>
      <c r="H82" s="172">
        <f ca="1">VLOOKUP(H77,SubSysTable,33,FALSE)</f>
        <v>8.0592000000000007E-3</v>
      </c>
      <c r="I82" s="167"/>
      <c r="J82" s="75"/>
      <c r="K82" s="75"/>
      <c r="L82" s="156" t="s">
        <v>285</v>
      </c>
      <c r="M82" s="152"/>
      <c r="N82" s="230">
        <f ca="1">ROUND(SUM(SubsystemsSTR),D91-1-INT(LOG10(SUM(SubsystemsSTR))))</f>
        <v>0.02</v>
      </c>
      <c r="O82" s="156" t="s">
        <v>59</v>
      </c>
      <c r="R82" s="62"/>
    </row>
    <row r="83" spans="1:18" ht="18.75" x14ac:dyDescent="0.25">
      <c r="D83" s="101"/>
      <c r="E83" s="160"/>
      <c r="F83" s="160"/>
      <c r="G83" s="160"/>
      <c r="H83" s="160"/>
      <c r="I83" s="161"/>
      <c r="J83" s="75"/>
      <c r="K83" s="75"/>
      <c r="L83" s="154"/>
      <c r="M83" s="75"/>
      <c r="N83" s="64"/>
      <c r="O83" s="75"/>
    </row>
    <row r="84" spans="1:18" s="75" customFormat="1" ht="47.25" x14ac:dyDescent="0.25">
      <c r="A84" s="159" t="s">
        <v>290</v>
      </c>
      <c r="D84" s="202" t="str">
        <f>SensorSuitability</f>
        <v>IEC 61508 safety manual</v>
      </c>
      <c r="E84" s="160"/>
      <c r="F84" s="202" t="str">
        <f>SolverSuitability</f>
        <v>IEC 61508 safety manual</v>
      </c>
      <c r="G84" s="160"/>
      <c r="H84" s="202" t="str">
        <f>FESuitability</f>
        <v>Other safety manual</v>
      </c>
      <c r="I84" s="161"/>
      <c r="L84" s="154"/>
      <c r="N84" s="64"/>
    </row>
    <row r="85" spans="1:18" ht="18.75" x14ac:dyDescent="0.25">
      <c r="D85" s="101"/>
      <c r="E85" s="167"/>
      <c r="F85" s="160"/>
      <c r="G85" s="167"/>
      <c r="H85" s="160"/>
      <c r="I85" s="161"/>
      <c r="J85" s="75"/>
      <c r="K85" s="75"/>
      <c r="L85" s="154"/>
      <c r="M85" s="75"/>
      <c r="N85" s="64"/>
      <c r="O85" s="75"/>
    </row>
    <row r="86" spans="1:18" ht="15.75" x14ac:dyDescent="0.25">
      <c r="A86" s="159" t="s">
        <v>267</v>
      </c>
      <c r="B86" s="75"/>
      <c r="C86" s="75"/>
      <c r="D86" s="162">
        <f>IF(SensorSuitability="Evidence not available","Need evidence",SensorSILlimit)</f>
        <v>3</v>
      </c>
      <c r="E86" s="167"/>
      <c r="F86" s="162">
        <f ca="1">IF(SolverSuitability="Evidence not available","Need evidence",SolverSILlimit)</f>
        <v>3</v>
      </c>
      <c r="G86" s="167"/>
      <c r="H86" s="162">
        <f>IF(FESuitability="Evidence not available","Need evidence",FESILlimit)</f>
        <v>3</v>
      </c>
      <c r="I86" s="167"/>
      <c r="J86" s="75"/>
      <c r="K86" s="75"/>
      <c r="L86" s="75"/>
      <c r="M86" s="75"/>
      <c r="N86" s="64"/>
      <c r="O86" s="75"/>
    </row>
    <row r="87" spans="1:18" ht="15.75" x14ac:dyDescent="0.25">
      <c r="A87" s="159"/>
      <c r="B87" s="75"/>
      <c r="C87" s="75"/>
      <c r="D87" s="167"/>
      <c r="E87" s="167"/>
      <c r="F87" s="167"/>
      <c r="G87" s="167"/>
      <c r="H87" s="167"/>
      <c r="I87" s="167"/>
      <c r="J87" s="75"/>
      <c r="K87" s="75"/>
      <c r="L87" s="75"/>
      <c r="M87" s="75"/>
      <c r="N87" s="75"/>
      <c r="O87" s="75"/>
    </row>
    <row r="88" spans="1:18" ht="15.75" x14ac:dyDescent="0.25">
      <c r="A88" s="159" t="s">
        <v>294</v>
      </c>
      <c r="B88" s="75"/>
      <c r="C88" s="75"/>
      <c r="D88" s="176">
        <f>IF(SensorSuitability="Evidence not available","Need evidence",SensorSC)</f>
        <v>1</v>
      </c>
      <c r="E88" s="167"/>
      <c r="F88" s="176">
        <f>IF(SolverSuitability="Evidence not available","Need evidence",SolverSC)</f>
        <v>3</v>
      </c>
      <c r="G88" s="167"/>
      <c r="H88" s="176">
        <f>IF(FESuitability="Evidence not available","Need evidence",FESC)</f>
        <v>0</v>
      </c>
      <c r="I88" s="167"/>
      <c r="J88" s="75"/>
      <c r="K88" s="75"/>
      <c r="L88" s="75"/>
      <c r="M88" s="75"/>
      <c r="N88" s="75"/>
      <c r="O88" s="75"/>
    </row>
    <row r="89" spans="1:18" ht="18.75" x14ac:dyDescent="0.25">
      <c r="D89" s="101"/>
      <c r="E89" s="160"/>
      <c r="F89" s="149"/>
      <c r="G89" s="149"/>
      <c r="H89" s="149"/>
      <c r="I89" s="148"/>
      <c r="J89" s="75"/>
      <c r="K89" s="75"/>
      <c r="L89" s="75"/>
      <c r="M89" s="75"/>
      <c r="N89" s="75"/>
      <c r="O89" s="75"/>
    </row>
    <row r="90" spans="1:18" ht="15.75" x14ac:dyDescent="0.25">
      <c r="A90" s="159" t="s">
        <v>217</v>
      </c>
      <c r="B90" s="75"/>
      <c r="C90" s="75"/>
      <c r="D90" s="189">
        <v>1</v>
      </c>
      <c r="E90" s="159" t="s">
        <v>270</v>
      </c>
      <c r="F90" s="75"/>
      <c r="G90" s="75"/>
      <c r="H90" s="75"/>
      <c r="I90" s="75"/>
      <c r="J90" s="75"/>
      <c r="K90" s="75"/>
      <c r="L90" s="75"/>
      <c r="M90" s="75"/>
      <c r="N90" s="75"/>
      <c r="O90" s="75"/>
    </row>
    <row r="91" spans="1:18" ht="15.75" x14ac:dyDescent="0.25">
      <c r="A91" s="158" t="s">
        <v>289</v>
      </c>
      <c r="B91" s="101"/>
      <c r="D91" s="190">
        <v>1</v>
      </c>
      <c r="E91" s="158" t="s">
        <v>36</v>
      </c>
      <c r="J91" s="158"/>
      <c r="K91" s="101"/>
      <c r="M91" s="158"/>
    </row>
    <row r="92" spans="1:18" ht="15.75" x14ac:dyDescent="0.25">
      <c r="A92" s="159"/>
      <c r="B92" s="75"/>
      <c r="C92" s="75"/>
      <c r="D92" s="159"/>
      <c r="E92" s="159"/>
      <c r="F92" s="75"/>
      <c r="G92" s="75"/>
      <c r="H92" s="75"/>
      <c r="I92" s="75"/>
      <c r="J92" s="75"/>
      <c r="K92" s="75"/>
      <c r="L92" s="75"/>
      <c r="M92" s="75"/>
      <c r="N92" s="75"/>
      <c r="O92" s="75"/>
    </row>
    <row r="93" spans="1:18" x14ac:dyDescent="0.25">
      <c r="I93" s="75"/>
      <c r="J93" s="75"/>
      <c r="K93" s="75"/>
      <c r="L93" s="75"/>
      <c r="M93" s="75"/>
      <c r="N93" s="75"/>
      <c r="O93" s="75"/>
    </row>
    <row r="94" spans="1:18" x14ac:dyDescent="0.25">
      <c r="I94" s="75"/>
      <c r="J94" s="75"/>
      <c r="K94" s="75"/>
      <c r="L94" s="75"/>
      <c r="M94" s="75"/>
      <c r="N94" s="75"/>
      <c r="O94" s="75"/>
    </row>
    <row r="95" spans="1:18" x14ac:dyDescent="0.25">
      <c r="I95" s="75"/>
      <c r="J95" s="75"/>
      <c r="K95" s="75"/>
      <c r="L95" s="75"/>
      <c r="M95" s="75"/>
      <c r="N95" s="75"/>
      <c r="O95" s="75"/>
    </row>
    <row r="96" spans="1:18" ht="32.25" x14ac:dyDescent="0.25">
      <c r="A96" s="122"/>
      <c r="B96" s="75"/>
      <c r="C96" s="75"/>
      <c r="D96" s="13" t="s">
        <v>221</v>
      </c>
      <c r="E96" s="75"/>
      <c r="F96" s="13" t="s">
        <v>20</v>
      </c>
      <c r="I96" s="75"/>
      <c r="J96" s="75"/>
      <c r="K96" s="75"/>
      <c r="L96" s="75"/>
      <c r="M96" s="75"/>
      <c r="N96" s="75"/>
      <c r="O96" s="75"/>
    </row>
    <row r="97" spans="1:38" ht="15.75" x14ac:dyDescent="0.25">
      <c r="A97" s="165" t="s">
        <v>218</v>
      </c>
      <c r="B97" s="75"/>
      <c r="C97" s="75"/>
      <c r="D97" s="169">
        <f ca="1">ROUND(RRF/UncertaintyFactor,D91-1-INT(LOG10(RRF/UncertaintyFactor)))</f>
        <v>200</v>
      </c>
      <c r="E97" s="75"/>
      <c r="F97" s="169">
        <f ca="1">ROUND(MTTFS/UncertaintyFactor,D91-1-INT(LOG10(MTTFS/UncertaintyFactor)))</f>
        <v>20</v>
      </c>
      <c r="G97" s="75"/>
      <c r="H97" s="64"/>
      <c r="I97" s="64"/>
      <c r="J97" s="75"/>
      <c r="K97" s="75"/>
      <c r="L97" s="75"/>
      <c r="M97" s="75"/>
      <c r="N97" s="75"/>
      <c r="O97" s="75"/>
    </row>
    <row r="98" spans="1:38" ht="18.75" x14ac:dyDescent="0.25">
      <c r="A98" s="165" t="s">
        <v>288</v>
      </c>
      <c r="B98" s="75"/>
      <c r="C98" s="75"/>
      <c r="D98" s="170">
        <f ca="1">ROUND(1/SUM(SubSystemPFDs),D91-1-INT(LOG10(1/SUM(SubSystemPFDs))))</f>
        <v>600</v>
      </c>
      <c r="E98" s="75"/>
      <c r="F98" s="170">
        <f ca="1">ROUND(1/SUM(SubsystemsSTR),D91-1-INT(LOG10(1/SUM(SubsystemsSTR))))</f>
        <v>60</v>
      </c>
      <c r="G98" s="75"/>
      <c r="H98" s="75"/>
      <c r="I98" s="75"/>
      <c r="J98" s="75"/>
      <c r="K98" s="75"/>
      <c r="L98" s="75"/>
      <c r="M98" s="75"/>
      <c r="N98" s="75"/>
      <c r="O98" s="75"/>
    </row>
    <row r="99" spans="1:38" ht="15.75" x14ac:dyDescent="0.25">
      <c r="A99" s="165" t="s">
        <v>219</v>
      </c>
      <c r="B99" s="75"/>
      <c r="C99" s="75"/>
      <c r="D99" s="169">
        <f ca="1">ROUND(UncertaintyFactor*RRF,D91-1-INT(LOG10(UncertaintyFactor*RRF)))</f>
        <v>2000</v>
      </c>
      <c r="E99" s="75"/>
      <c r="F99" s="169">
        <f ca="1">ROUND(UncertaintyFactor*MTTFS,D91-1-INT(LOG10(UncertaintyFactor*MTTFS)))</f>
        <v>200</v>
      </c>
      <c r="I99" s="125" t="s">
        <v>228</v>
      </c>
      <c r="J99" s="124"/>
      <c r="K99" s="124"/>
      <c r="L99" s="126" t="s">
        <v>343</v>
      </c>
      <c r="M99" s="209">
        <f>SQRT(10^UncertaintyOrder)</f>
        <v>3.1622776601683795</v>
      </c>
      <c r="N99" s="124"/>
      <c r="O99" s="75"/>
    </row>
    <row r="100" spans="1:38" x14ac:dyDescent="0.25">
      <c r="A100" s="75"/>
      <c r="B100" s="75"/>
      <c r="C100" s="75"/>
      <c r="D100" s="75"/>
      <c r="I100" s="126" t="s">
        <v>222</v>
      </c>
      <c r="J100" s="126" t="s">
        <v>227</v>
      </c>
      <c r="K100" s="126" t="s">
        <v>223</v>
      </c>
      <c r="L100" s="124"/>
      <c r="M100" s="127" t="s">
        <v>226</v>
      </c>
      <c r="N100" s="127" t="s">
        <v>225</v>
      </c>
      <c r="O100" s="75"/>
    </row>
    <row r="101" spans="1:38" x14ac:dyDescent="0.25">
      <c r="A101" s="75"/>
      <c r="B101" s="75"/>
      <c r="C101" s="75"/>
      <c r="D101" s="75"/>
      <c r="I101" s="128">
        <f ca="1">D97</f>
        <v>200</v>
      </c>
      <c r="J101" s="124">
        <f ca="1">RRF</f>
        <v>600</v>
      </c>
      <c r="K101" s="128">
        <f ca="1">D99</f>
        <v>2000</v>
      </c>
      <c r="L101" s="124"/>
      <c r="M101" s="124">
        <f>RRF_target</f>
        <v>300</v>
      </c>
      <c r="N101" s="124">
        <f ca="1">J101</f>
        <v>600</v>
      </c>
    </row>
    <row r="102" spans="1:38" x14ac:dyDescent="0.25">
      <c r="A102" s="75"/>
      <c r="B102" s="75"/>
      <c r="C102" s="75"/>
      <c r="D102" s="75"/>
      <c r="I102" s="124">
        <f ca="1">I101</f>
        <v>200</v>
      </c>
      <c r="J102" s="124">
        <f ca="1">J101</f>
        <v>600</v>
      </c>
      <c r="K102" s="124">
        <f ca="1">K101</f>
        <v>2000</v>
      </c>
      <c r="L102" s="124"/>
      <c r="M102" s="124">
        <f>RRF_target</f>
        <v>300</v>
      </c>
      <c r="N102" s="124">
        <f ca="1">J102</f>
        <v>600</v>
      </c>
    </row>
    <row r="103" spans="1:38" x14ac:dyDescent="0.25">
      <c r="A103" s="75"/>
      <c r="B103" s="75"/>
      <c r="C103" s="75"/>
      <c r="D103" s="75"/>
      <c r="E103" s="75"/>
      <c r="F103" s="75"/>
      <c r="G103" s="75" t="s">
        <v>402</v>
      </c>
      <c r="H103" s="222">
        <f ca="1">D80/N80</f>
        <v>0.115</v>
      </c>
      <c r="I103" s="75"/>
      <c r="J103" s="75"/>
      <c r="K103" s="75"/>
      <c r="L103" s="75"/>
      <c r="M103" s="75"/>
      <c r="N103" s="75"/>
      <c r="O103" s="75"/>
    </row>
    <row r="104" spans="1:38" x14ac:dyDescent="0.25">
      <c r="A104" s="75"/>
      <c r="B104" s="75"/>
      <c r="C104" s="75"/>
      <c r="D104" s="75"/>
      <c r="E104" s="75"/>
      <c r="F104" s="75"/>
      <c r="G104" s="75" t="s">
        <v>403</v>
      </c>
      <c r="H104" s="222">
        <f ca="1">F80/N80</f>
        <v>1.0999999999999999E-2</v>
      </c>
      <c r="I104" s="75"/>
      <c r="J104" s="75"/>
      <c r="K104" s="75"/>
      <c r="L104" s="75"/>
      <c r="M104" s="75"/>
      <c r="N104" s="75"/>
      <c r="O104" s="75"/>
    </row>
    <row r="105" spans="1:38" x14ac:dyDescent="0.25">
      <c r="A105" s="75"/>
      <c r="B105" s="75"/>
      <c r="C105" s="75"/>
      <c r="D105" s="75"/>
      <c r="E105" s="75"/>
      <c r="F105" s="75"/>
      <c r="G105" s="75" t="s">
        <v>404</v>
      </c>
      <c r="H105" s="222">
        <f ca="1">H80/N80</f>
        <v>0.7</v>
      </c>
      <c r="I105" s="75"/>
      <c r="J105" s="75"/>
      <c r="K105" s="75"/>
      <c r="L105" s="75"/>
      <c r="M105" s="75"/>
      <c r="N105" s="75"/>
      <c r="O105" s="75"/>
    </row>
    <row r="106" spans="1:38" x14ac:dyDescent="0.25">
      <c r="A106" s="75"/>
      <c r="B106" s="75"/>
      <c r="C106" s="75"/>
      <c r="D106" s="75"/>
      <c r="E106" s="75"/>
      <c r="F106" s="75"/>
      <c r="G106" s="75"/>
      <c r="H106" s="75"/>
      <c r="I106" s="75"/>
      <c r="J106" s="75"/>
      <c r="K106" s="75"/>
      <c r="L106" s="75"/>
      <c r="M106" s="75"/>
      <c r="N106" s="75"/>
      <c r="O106" s="75"/>
    </row>
    <row r="107" spans="1:38" x14ac:dyDescent="0.25">
      <c r="A107" s="75"/>
      <c r="B107" s="75"/>
      <c r="C107" s="75"/>
      <c r="D107" s="75"/>
      <c r="E107" s="75"/>
      <c r="F107" s="75"/>
      <c r="G107" s="75"/>
      <c r="H107" s="75"/>
      <c r="I107" s="75"/>
      <c r="J107" s="75"/>
      <c r="K107" s="75"/>
      <c r="L107" s="75"/>
      <c r="M107" s="75"/>
      <c r="N107" s="75"/>
      <c r="O107" s="75"/>
    </row>
    <row r="108" spans="1:38" x14ac:dyDescent="0.25">
      <c r="A108" s="75"/>
      <c r="B108" s="75"/>
      <c r="C108" s="75"/>
      <c r="D108" s="75"/>
      <c r="E108" s="75"/>
      <c r="F108" s="75"/>
      <c r="G108" s="75"/>
      <c r="H108" s="75"/>
      <c r="I108" s="75"/>
      <c r="J108" s="75"/>
      <c r="K108" s="75"/>
      <c r="L108" s="75"/>
      <c r="M108" s="75"/>
      <c r="N108" s="75"/>
      <c r="O108" s="75"/>
    </row>
    <row r="109" spans="1:38" x14ac:dyDescent="0.25">
      <c r="A109" s="75"/>
      <c r="B109" s="75"/>
      <c r="C109" s="75"/>
      <c r="D109" s="75"/>
      <c r="E109" s="75"/>
      <c r="F109" s="75"/>
      <c r="G109" s="75"/>
      <c r="H109" s="75"/>
      <c r="I109" s="75"/>
      <c r="J109" s="75"/>
      <c r="K109" s="75"/>
      <c r="L109" s="75"/>
      <c r="M109" s="75"/>
      <c r="N109" s="75"/>
      <c r="O109" s="75"/>
    </row>
    <row r="110" spans="1:38" x14ac:dyDescent="0.25">
      <c r="A110" s="75"/>
      <c r="B110" s="75"/>
      <c r="C110" s="75"/>
      <c r="D110" s="75"/>
      <c r="E110" s="75"/>
      <c r="F110" s="75"/>
      <c r="G110" s="75"/>
      <c r="H110" s="75"/>
      <c r="I110" s="75"/>
      <c r="J110" s="75"/>
      <c r="K110" s="75"/>
      <c r="L110" s="75"/>
      <c r="M110" s="75"/>
      <c r="N110" s="75"/>
      <c r="O110" s="75"/>
    </row>
    <row r="111" spans="1:38" x14ac:dyDescent="0.25">
      <c r="A111" s="75"/>
      <c r="B111" s="75"/>
      <c r="C111" s="75"/>
      <c r="D111" s="75"/>
      <c r="E111" s="75"/>
      <c r="F111" s="75"/>
      <c r="G111" s="75"/>
      <c r="H111" s="75"/>
      <c r="I111" s="75"/>
      <c r="J111" s="75"/>
      <c r="K111" s="75"/>
      <c r="L111" s="75"/>
      <c r="M111" s="75"/>
      <c r="N111" s="75"/>
      <c r="O111" s="75"/>
      <c r="AI111" s="248" t="s">
        <v>445</v>
      </c>
      <c r="AJ111" s="248"/>
      <c r="AK111" s="248"/>
      <c r="AL111" s="248"/>
    </row>
    <row r="112" spans="1:38" x14ac:dyDescent="0.25">
      <c r="A112" s="75"/>
      <c r="B112" s="75"/>
      <c r="C112" s="75"/>
      <c r="D112" s="75"/>
      <c r="E112" s="75"/>
      <c r="F112" s="75"/>
      <c r="G112" s="75"/>
      <c r="H112" s="75"/>
      <c r="I112" s="75"/>
      <c r="J112" s="75"/>
      <c r="K112" s="75"/>
      <c r="L112" s="75"/>
      <c r="M112" s="75"/>
      <c r="N112" s="75"/>
      <c r="O112" s="75"/>
    </row>
    <row r="113" spans="1:49" ht="18.75" x14ac:dyDescent="0.25">
      <c r="E113" s="149"/>
      <c r="F113" s="149"/>
      <c r="G113" s="149"/>
      <c r="H113" s="149"/>
      <c r="I113" s="148"/>
      <c r="J113" s="75"/>
      <c r="K113" s="75"/>
      <c r="L113" s="75"/>
      <c r="M113" s="75"/>
      <c r="N113" s="75"/>
      <c r="O113" s="75"/>
    </row>
    <row r="114" spans="1:49" x14ac:dyDescent="0.25">
      <c r="N114" s="75"/>
      <c r="O114" s="75"/>
    </row>
    <row r="115" spans="1:49" x14ac:dyDescent="0.25">
      <c r="N115" s="75"/>
      <c r="O115" s="75"/>
      <c r="AI115" s="14" t="s">
        <v>443</v>
      </c>
    </row>
    <row r="116" spans="1:49" x14ac:dyDescent="0.25">
      <c r="N116" s="75"/>
      <c r="O116" s="75"/>
    </row>
    <row r="117" spans="1:49" x14ac:dyDescent="0.25">
      <c r="N117" s="75"/>
      <c r="O117" s="75"/>
    </row>
    <row r="118" spans="1:49" x14ac:dyDescent="0.25">
      <c r="N118" s="75"/>
      <c r="O118" s="75"/>
      <c r="AO118" s="84"/>
      <c r="AP118" s="84"/>
      <c r="AQ118" s="84"/>
    </row>
    <row r="119" spans="1:49" ht="69" customHeight="1" x14ac:dyDescent="0.25">
      <c r="B119" s="34"/>
      <c r="AN119" s="248" t="s">
        <v>431</v>
      </c>
      <c r="AR119" s="110" t="s">
        <v>441</v>
      </c>
    </row>
    <row r="120" spans="1:49" x14ac:dyDescent="0.25">
      <c r="A120" s="8"/>
      <c r="AI120" s="14" t="s">
        <v>387</v>
      </c>
      <c r="AN120" s="248"/>
    </row>
    <row r="121" spans="1:49" ht="21" x14ac:dyDescent="0.25">
      <c r="A121" s="34" t="s">
        <v>360</v>
      </c>
      <c r="AD121" s="14" t="s">
        <v>429</v>
      </c>
      <c r="AN121" s="248"/>
    </row>
    <row r="122" spans="1:49" x14ac:dyDescent="0.25">
      <c r="A122" s="14"/>
      <c r="AN122" s="248"/>
    </row>
    <row r="123" spans="1:49" x14ac:dyDescent="0.25">
      <c r="A123" s="14"/>
      <c r="AN123" s="248"/>
    </row>
    <row r="124" spans="1:49" x14ac:dyDescent="0.25">
      <c r="A124" s="100" t="s">
        <v>214</v>
      </c>
      <c r="B124" s="26">
        <v>2</v>
      </c>
      <c r="C124" t="s">
        <v>36</v>
      </c>
      <c r="O124" s="10"/>
      <c r="AN124" s="248"/>
    </row>
    <row r="125" spans="1:49" x14ac:dyDescent="0.25">
      <c r="O125" s="7"/>
    </row>
    <row r="126" spans="1:49" x14ac:dyDescent="0.25">
      <c r="A126" s="94">
        <v>1</v>
      </c>
      <c r="B126" s="94">
        <v>2</v>
      </c>
      <c r="C126" s="94">
        <v>3</v>
      </c>
      <c r="D126" s="94">
        <v>4</v>
      </c>
      <c r="E126" s="94">
        <v>5</v>
      </c>
      <c r="F126" s="94">
        <v>6</v>
      </c>
      <c r="G126" s="94">
        <v>7</v>
      </c>
      <c r="H126" s="94">
        <v>8</v>
      </c>
      <c r="I126" s="94">
        <v>9</v>
      </c>
      <c r="J126" s="94">
        <v>10</v>
      </c>
      <c r="K126" s="94">
        <v>11</v>
      </c>
      <c r="L126" s="94">
        <v>12</v>
      </c>
      <c r="M126" s="94">
        <v>13</v>
      </c>
      <c r="N126" s="94">
        <v>14</v>
      </c>
      <c r="O126" s="94">
        <v>15</v>
      </c>
      <c r="P126" s="94">
        <v>16</v>
      </c>
      <c r="Q126" s="94">
        <v>17</v>
      </c>
      <c r="R126" s="94">
        <v>18</v>
      </c>
      <c r="S126" s="94">
        <v>19</v>
      </c>
      <c r="T126" s="94">
        <v>20</v>
      </c>
      <c r="U126" s="94">
        <v>21</v>
      </c>
      <c r="V126" s="94">
        <v>22</v>
      </c>
      <c r="W126" s="94">
        <v>23</v>
      </c>
      <c r="X126" s="94">
        <v>24</v>
      </c>
      <c r="Y126" s="94">
        <v>25</v>
      </c>
      <c r="Z126" s="94">
        <v>26</v>
      </c>
      <c r="AA126" s="94">
        <v>27</v>
      </c>
      <c r="AB126" s="94">
        <v>28</v>
      </c>
      <c r="AC126" s="94">
        <v>29</v>
      </c>
      <c r="AD126" s="94">
        <v>30</v>
      </c>
      <c r="AE126" s="94">
        <v>31</v>
      </c>
      <c r="AF126" s="94">
        <v>32</v>
      </c>
      <c r="AG126" s="94">
        <v>33</v>
      </c>
      <c r="AH126" s="94">
        <v>34</v>
      </c>
      <c r="AI126" s="94">
        <v>35</v>
      </c>
      <c r="AJ126" s="94">
        <v>36</v>
      </c>
      <c r="AK126" s="94">
        <v>37</v>
      </c>
      <c r="AL126" s="94">
        <v>38</v>
      </c>
      <c r="AM126" s="94">
        <v>39</v>
      </c>
      <c r="AN126" s="94">
        <v>40</v>
      </c>
      <c r="AO126" s="94">
        <v>41</v>
      </c>
      <c r="AP126" s="94">
        <v>42</v>
      </c>
      <c r="AQ126" s="94">
        <v>43</v>
      </c>
      <c r="AR126" s="94">
        <v>44</v>
      </c>
      <c r="AS126" s="94">
        <v>45</v>
      </c>
    </row>
    <row r="127" spans="1:49" ht="30" x14ac:dyDescent="0.25">
      <c r="C127" s="3"/>
      <c r="G127" s="14"/>
      <c r="H127" s="84" t="s">
        <v>215</v>
      </c>
      <c r="I127" s="84" t="s">
        <v>145</v>
      </c>
      <c r="N127" s="14" t="s">
        <v>37</v>
      </c>
      <c r="P127" s="14" t="s">
        <v>38</v>
      </c>
      <c r="T127" s="55"/>
      <c r="AJ127" s="14" t="s">
        <v>27</v>
      </c>
      <c r="AN127" s="221"/>
      <c r="AP127" s="221"/>
      <c r="AQ127" s="221"/>
      <c r="AR127" s="14" t="s">
        <v>428</v>
      </c>
    </row>
    <row r="128" spans="1:49" ht="46.5" customHeight="1" thickBot="1" x14ac:dyDescent="0.4">
      <c r="A128" s="41" t="s">
        <v>55</v>
      </c>
      <c r="B128" s="12" t="s">
        <v>35</v>
      </c>
      <c r="C128" s="13" t="s">
        <v>20</v>
      </c>
      <c r="D128" s="41" t="s">
        <v>127</v>
      </c>
      <c r="E128" s="16" t="s">
        <v>3</v>
      </c>
      <c r="F128" s="16" t="s">
        <v>4</v>
      </c>
      <c r="G128" s="16" t="s">
        <v>6</v>
      </c>
      <c r="H128" s="27" t="s">
        <v>143</v>
      </c>
      <c r="I128" s="27" t="s">
        <v>144</v>
      </c>
      <c r="J128" s="27" t="s">
        <v>139</v>
      </c>
      <c r="K128" s="27" t="s">
        <v>141</v>
      </c>
      <c r="L128" s="27" t="s">
        <v>140</v>
      </c>
      <c r="M128" s="27" t="s">
        <v>142</v>
      </c>
      <c r="N128" s="2" t="s">
        <v>1</v>
      </c>
      <c r="O128" s="2" t="s">
        <v>2</v>
      </c>
      <c r="P128" s="28" t="s">
        <v>39</v>
      </c>
      <c r="Q128" s="28" t="s">
        <v>40</v>
      </c>
      <c r="R128" s="27" t="s">
        <v>136</v>
      </c>
      <c r="S128" s="27" t="s">
        <v>135</v>
      </c>
      <c r="T128" s="27" t="s">
        <v>138</v>
      </c>
      <c r="U128" s="27" t="s">
        <v>137</v>
      </c>
      <c r="V128" s="2" t="s">
        <v>34</v>
      </c>
      <c r="W128" s="2" t="s">
        <v>125</v>
      </c>
      <c r="X128" s="27" t="s">
        <v>147</v>
      </c>
      <c r="Y128" s="27" t="s">
        <v>146</v>
      </c>
      <c r="Z128" s="2" t="s">
        <v>33</v>
      </c>
      <c r="AA128" s="27" t="s">
        <v>191</v>
      </c>
      <c r="AB128" s="27" t="s">
        <v>192</v>
      </c>
      <c r="AD128" s="20" t="s">
        <v>21</v>
      </c>
      <c r="AE128" s="19" t="s">
        <v>25</v>
      </c>
      <c r="AF128" s="19" t="s">
        <v>26</v>
      </c>
      <c r="AG128" s="21" t="s">
        <v>0</v>
      </c>
      <c r="AI128" s="14"/>
      <c r="AJ128" s="228" t="s">
        <v>426</v>
      </c>
      <c r="AK128" s="17" t="s">
        <v>22</v>
      </c>
      <c r="AL128" s="17" t="s">
        <v>23</v>
      </c>
      <c r="AM128" s="17" t="s">
        <v>41</v>
      </c>
      <c r="AN128" s="21" t="s">
        <v>391</v>
      </c>
      <c r="AO128" s="17" t="s">
        <v>401</v>
      </c>
      <c r="AP128" s="236" t="s">
        <v>447</v>
      </c>
      <c r="AQ128" s="221"/>
      <c r="AR128" s="229" t="s">
        <v>24</v>
      </c>
      <c r="AS128" s="221" t="s">
        <v>446</v>
      </c>
      <c r="AW128" s="14"/>
    </row>
    <row r="129" spans="1:52" x14ac:dyDescent="0.25">
      <c r="A129" s="191" t="str">
        <f ca="1">SelectedSensorSystem</f>
        <v>PZHH01</v>
      </c>
      <c r="B129" s="35" cm="1">
        <f t="array" aca="1" ref="B129:B131" ca="1">ROUND(SubsystemPFDavg,SigFigs-1-INT(LOG10(SubsystemPFDavg)))</f>
        <v>2.3000000000000001E-4</v>
      </c>
      <c r="C129" s="25" cm="1">
        <f t="array" aca="1" ref="C129:C131" ca="1">ROUND(1/subsystemSTR,SigFigs-1-INT(LOG10(1/subsystemSTR)))</f>
        <v>120</v>
      </c>
      <c r="D129" s="192" t="str">
        <f>SensorFMEA</f>
        <v>FMEA_1</v>
      </c>
      <c r="E129" s="192">
        <f>SensorM</f>
        <v>1</v>
      </c>
      <c r="F129" s="192">
        <f>SensorN</f>
        <v>2</v>
      </c>
      <c r="G129" s="3" t="str" cm="1">
        <f t="array" ref="G129:G131">M&amp;"oo"&amp;N</f>
        <v>1oo2</v>
      </c>
      <c r="H129" s="192">
        <f>SensorT1</f>
        <v>1</v>
      </c>
      <c r="I129" s="192">
        <f>SensorT2</f>
        <v>10</v>
      </c>
      <c r="J129" s="192">
        <f>SensorMTTR</f>
        <v>3</v>
      </c>
      <c r="K129" s="192">
        <f>SensorMRT</f>
        <v>3</v>
      </c>
      <c r="L129" s="11">
        <f t="shared" ref="L129:M131" si="0">J129/365</f>
        <v>8.21917808219178E-3</v>
      </c>
      <c r="M129" s="11">
        <f t="shared" si="0"/>
        <v>8.21917808219178E-3</v>
      </c>
      <c r="N129" s="192">
        <f>SensorB</f>
        <v>0.1</v>
      </c>
      <c r="O129" s="192">
        <f>SensorBD</f>
        <v>0.1</v>
      </c>
      <c r="P129" cm="1">
        <f t="array" ref="P129:P131">INDEX(βmultipliers,M,N)* β</f>
        <v>0.1</v>
      </c>
      <c r="Q129" cm="1">
        <f t="array" ref="Q129:Q131">INDEX(βmultipliers,M,N)* βD</f>
        <v>0.1</v>
      </c>
      <c r="R129" s="70" cm="1">
        <f t="array" aca="1" ref="R129" ca="1">INDIRECT($D129&amp;"!λDU")</f>
        <v>390</v>
      </c>
      <c r="S129" s="62">
        <f ca="1">R129*10^-9*8760</f>
        <v>3.4164000000000004E-3</v>
      </c>
      <c r="T129" s="70" cm="1">
        <f t="array" aca="1" ref="T129" ca="1">INDIRECT($D129&amp;"!λDD")</f>
        <v>1200</v>
      </c>
      <c r="U129" s="62">
        <f ca="1">T129*10^-9*8760</f>
        <v>1.0512000000000002E-2</v>
      </c>
      <c r="V129" s="24" cm="1">
        <f t="array" aca="1" ref="V129:V131" ca="1">λDD/(λDD+λDU)</f>
        <v>0.75471698113207553</v>
      </c>
      <c r="W129" s="24" cm="1">
        <f t="array" aca="1" ref="W129:W131" ca="1">(λSU+λDD)/(λSU+λDD+λDU)</f>
        <v>0.80975609756097566</v>
      </c>
      <c r="X129" s="70" cm="1">
        <f t="array" aca="1" ref="X129" ca="1">INDIRECT($D129&amp;"!λDN")</f>
        <v>11</v>
      </c>
      <c r="Y129" s="62">
        <f ca="1">X129*10^-9*8760</f>
        <v>9.6360000000000006E-5</v>
      </c>
      <c r="Z129" s="24">
        <f t="shared" ref="Z129" ca="1" si="1">1-λDN/λDU</f>
        <v>0.97179487179487178</v>
      </c>
      <c r="AA129" s="70" cm="1">
        <f t="array" aca="1" ref="AA129" ca="1">INDIRECT($D129&amp;"!λsu")</f>
        <v>460</v>
      </c>
      <c r="AB129" s="62">
        <f t="shared" ref="AB129" ca="1" si="2">MTBFS*10^-9*8760</f>
        <v>4.0296000000000004E-3</v>
      </c>
      <c r="AC129" cm="1">
        <f t="array" ref="AC129:AC131">(FACT(N)/FACT(N-M))</f>
        <v>2</v>
      </c>
      <c r="AD129" cm="1">
        <f t="array" ref="AD129:AD131">INDEX(βmultipliers,(N-M+1),N)</f>
        <v>0</v>
      </c>
      <c r="AE129" s="49" cm="1">
        <f t="array" aca="1" ref="AE129:AE131" ca="1">(FACT(N)/FACT(N-M))*(λSU)^M*MTTR^(M-1)</f>
        <v>8.0592000000000007E-3</v>
      </c>
      <c r="AF129" s="49" cm="1">
        <f t="array" aca="1" ref="AF129:AF131" ca="1">STRbeta* β*(λSU)</f>
        <v>0</v>
      </c>
      <c r="AG129" s="22">
        <f ca="1">AE129+AF129</f>
        <v>8.0592000000000007E-3</v>
      </c>
      <c r="AI129" cm="1">
        <f t="array" ref="AI129:AI131">FACT(N)/(FACT(N-M+1)*FACT(M-1))</f>
        <v>1</v>
      </c>
      <c r="AJ129" s="35" cm="1">
        <f t="array" aca="1" ref="AJ129:AJ131" ca="1">MchooseN*(((1-PFDβ)*(λDU-λDN)*T_1/2)+((1-PFDβ)*(λDN)*T_2/2)+((1-PFDβD)*λDD*MTTR))^(N-M+1)</f>
        <v>4.0216211384040008E-6</v>
      </c>
      <c r="AK129" s="35" cm="1">
        <f t="array" aca="1" ref="AK129:AK131" ca="1">PFDβ*(λDU-λDN)*T_1/(2*CCF_T_N)</f>
        <v>1.6600200000000003E-4</v>
      </c>
      <c r="AL129" s="35" cm="1">
        <f t="array" aca="1" ref="AL129:AL131" ca="1">PFDβ*(λDN)*T_2/(2*CCF_T_N)</f>
        <v>4.8180000000000003E-5</v>
      </c>
      <c r="AM129" s="35" cm="1">
        <f t="array" aca="1" ref="AM129:AM131" ca="1">PFDβD*λDD*MTTR</f>
        <v>8.6400000000000003E-6</v>
      </c>
      <c r="AN129" t="b">
        <f>SensorTestsStaggered</f>
        <v>0</v>
      </c>
      <c r="AO129" s="3" cm="1">
        <f t="array" ref="AO129:AO131">IF(Staggered,N,1)</f>
        <v>1</v>
      </c>
      <c r="AP129" s="231" cm="1">
        <f t="array" aca="1" ref="AP129:AP131" ca="1">IF(Staggered,INDEX(STmulitipliers,M,N),2^(N-M+1)/(N-M+2))*avg_before_product+CCF_T1_term+CCF_T2_term+CCF_λDD_term</f>
        <v>2.28184161517872E-4</v>
      </c>
      <c r="AQ129" s="235"/>
      <c r="AR129" s="15" cm="1">
        <f t="array" aca="1" ref="AR129:AR131" ca="1">2/3*PFDβ*λDU*T_1/CCF_T_N</f>
        <v>2.2776000000000003E-4</v>
      </c>
      <c r="AS129" s="24">
        <f ca="1">($AP129-AR129)/$AP129</f>
        <v>1.8588560882160674E-3</v>
      </c>
      <c r="AU129" s="35"/>
      <c r="AW129" s="226"/>
      <c r="AZ129" s="35"/>
    </row>
    <row r="130" spans="1:52" x14ac:dyDescent="0.25">
      <c r="A130" s="191" t="s">
        <v>333</v>
      </c>
      <c r="B130" s="35">
        <f ca="1"/>
        <v>2.1999999999999999E-5</v>
      </c>
      <c r="C130" s="25">
        <f ca="1"/>
        <v>30000</v>
      </c>
      <c r="D130" s="192" t="str">
        <f>SolverFMEA</f>
        <v>FMEA_2</v>
      </c>
      <c r="E130" s="192">
        <f>SolverM</f>
        <v>2</v>
      </c>
      <c r="F130" s="192">
        <f>SolverN</f>
        <v>3</v>
      </c>
      <c r="G130" s="3" t="str">
        <v>2oo3</v>
      </c>
      <c r="H130" s="192">
        <f>SolverT1</f>
        <v>1</v>
      </c>
      <c r="I130" s="192">
        <f>SolverT2</f>
        <v>10</v>
      </c>
      <c r="J130" s="192">
        <f>SolverMTTR</f>
        <v>3</v>
      </c>
      <c r="K130" s="192">
        <f>SolverMRT</f>
        <v>3</v>
      </c>
      <c r="L130" s="11">
        <f t="shared" si="0"/>
        <v>8.21917808219178E-3</v>
      </c>
      <c r="M130" s="11">
        <f t="shared" si="0"/>
        <v>8.21917808219178E-3</v>
      </c>
      <c r="N130" s="192">
        <f>SolverB</f>
        <v>0.05</v>
      </c>
      <c r="O130" s="192">
        <f>SolverBD</f>
        <v>0.05</v>
      </c>
      <c r="P130">
        <v>7.5000000000000011E-2</v>
      </c>
      <c r="Q130">
        <v>7.5000000000000011E-2</v>
      </c>
      <c r="R130" s="70" cm="1">
        <f t="array" aca="1" ref="R130" ca="1">INDIRECT($D130&amp;"!λDU")</f>
        <v>50</v>
      </c>
      <c r="S130" s="62">
        <f t="shared" ref="S130:S131" ca="1" si="3">R130*10^-9*8760</f>
        <v>4.3800000000000002E-4</v>
      </c>
      <c r="T130" s="70" cm="1">
        <f t="array" aca="1" ref="T130" ca="1">INDIRECT($D130&amp;"!λDD")</f>
        <v>1000</v>
      </c>
      <c r="U130" s="62">
        <f t="shared" ref="U130:U131" ca="1" si="4">T130*10^-9*8760</f>
        <v>8.7600000000000022E-3</v>
      </c>
      <c r="V130" s="24">
        <f ca="1"/>
        <v>0.95238095238095244</v>
      </c>
      <c r="W130" s="24">
        <f ca="1"/>
        <v>0.95454545454545447</v>
      </c>
      <c r="X130" s="70" cm="1">
        <f t="array" aca="1" ref="X130" ca="1">INDIRECT($D130&amp;"!λDN")</f>
        <v>0</v>
      </c>
      <c r="Y130" s="62">
        <f t="shared" ref="Y130:Y131" ca="1" si="5">X130*10^-9*8760</f>
        <v>0</v>
      </c>
      <c r="Z130" s="24">
        <f t="shared" ref="Z130" ca="1" si="6">1-λDN/λDU</f>
        <v>1</v>
      </c>
      <c r="AA130" s="70" cm="1">
        <f t="array" aca="1" ref="AA130" ca="1">INDIRECT($D130&amp;"!λsu")</f>
        <v>50</v>
      </c>
      <c r="AB130" s="62">
        <f t="shared" ref="AB130" ca="1" si="7">MTBFS*10^-9*8760</f>
        <v>4.3800000000000002E-4</v>
      </c>
      <c r="AC130">
        <v>6</v>
      </c>
      <c r="AD130">
        <v>1.5</v>
      </c>
      <c r="AE130" s="49">
        <f ca="1"/>
        <v>9.4608000000000003E-9</v>
      </c>
      <c r="AF130" s="49">
        <f ca="1"/>
        <v>3.2850000000000006E-5</v>
      </c>
      <c r="AG130" s="22">
        <f t="shared" ref="AG130:AG131" ca="1" si="8">AE130+AF130</f>
        <v>3.2859460800000003E-5</v>
      </c>
      <c r="AI130">
        <v>3</v>
      </c>
      <c r="AJ130" s="35">
        <f ca="1"/>
        <v>2.1736554187500014E-7</v>
      </c>
      <c r="AK130" s="35">
        <f ca="1"/>
        <v>1.6425000000000003E-5</v>
      </c>
      <c r="AL130" s="35">
        <f ca="1"/>
        <v>0</v>
      </c>
      <c r="AM130" s="35">
        <f ca="1"/>
        <v>5.4000000000000017E-6</v>
      </c>
      <c r="AN130" t="b">
        <v>0</v>
      </c>
      <c r="AO130" s="3">
        <v>1</v>
      </c>
      <c r="AP130" s="232">
        <f ca="1"/>
        <v>2.2114820722500007E-5</v>
      </c>
      <c r="AQ130" s="235"/>
      <c r="AR130" s="15">
        <f ca="1"/>
        <v>2.1900000000000004E-5</v>
      </c>
      <c r="AS130" s="24">
        <f ca="1">($AP130-AR130)/$AP130</f>
        <v>9.7138803518059171E-3</v>
      </c>
      <c r="AU130" s="35"/>
      <c r="AW130" s="226"/>
    </row>
    <row r="131" spans="1:52" ht="15.75" thickBot="1" x14ac:dyDescent="0.3">
      <c r="A131" s="191" t="s">
        <v>207</v>
      </c>
      <c r="B131" s="35">
        <f ca="1"/>
        <v>1.4E-3</v>
      </c>
      <c r="C131" s="25">
        <f ca="1"/>
        <v>120</v>
      </c>
      <c r="D131" s="192" t="str">
        <f>FE_FMEA</f>
        <v>FMEA_3</v>
      </c>
      <c r="E131" s="192">
        <f>FE_M</f>
        <v>1</v>
      </c>
      <c r="F131" s="192">
        <f>FE_N</f>
        <v>2</v>
      </c>
      <c r="G131" s="3" t="str">
        <v>1oo2</v>
      </c>
      <c r="H131" s="192">
        <f>FE_T1</f>
        <v>1</v>
      </c>
      <c r="I131" s="192">
        <f>FE_T2</f>
        <v>10</v>
      </c>
      <c r="J131" s="192">
        <f>FE_MTTR</f>
        <v>3</v>
      </c>
      <c r="K131" s="192">
        <f>FE_MRT</f>
        <v>3</v>
      </c>
      <c r="L131" s="11">
        <f t="shared" si="0"/>
        <v>8.21917808219178E-3</v>
      </c>
      <c r="M131" s="11">
        <f t="shared" si="0"/>
        <v>8.21917808219178E-3</v>
      </c>
      <c r="N131" s="192">
        <f>FE_B</f>
        <v>0.1</v>
      </c>
      <c r="O131" s="192">
        <f>FE_BD</f>
        <v>0.1</v>
      </c>
      <c r="P131">
        <v>0.1</v>
      </c>
      <c r="Q131">
        <v>0.1</v>
      </c>
      <c r="R131" s="70" cm="1">
        <f t="array" aca="1" ref="R131" ca="1">INDIRECT($D131&amp;"!λDU")</f>
        <v>2300</v>
      </c>
      <c r="S131" s="62">
        <f t="shared" ca="1" si="3"/>
        <v>2.0147999999999999E-2</v>
      </c>
      <c r="T131" s="70" cm="1">
        <f t="array" aca="1" ref="T131" ca="1">INDIRECT($D131&amp;"!λDD")</f>
        <v>140</v>
      </c>
      <c r="U131" s="62">
        <f t="shared" ca="1" si="4"/>
        <v>1.2264000000000001E-3</v>
      </c>
      <c r="V131" s="24">
        <f ca="1"/>
        <v>5.7377049180327877E-2</v>
      </c>
      <c r="W131" s="24">
        <f ca="1"/>
        <v>0.20689655172413796</v>
      </c>
      <c r="X131" s="70" cm="1">
        <f t="array" aca="1" ref="X131" ca="1">INDIRECT($D131&amp;"!λDN")</f>
        <v>50</v>
      </c>
      <c r="Y131" s="62">
        <f t="shared" ca="1" si="5"/>
        <v>4.3800000000000002E-4</v>
      </c>
      <c r="Z131" s="24">
        <f t="shared" ref="Z131" ca="1" si="9">1-λDN/λDU</f>
        <v>0.97826086956521741</v>
      </c>
      <c r="AA131" s="70" cm="1">
        <f t="array" aca="1" ref="AA131" ca="1">INDIRECT($D131&amp;"!λsu")</f>
        <v>460</v>
      </c>
      <c r="AB131" s="62">
        <f t="shared" ref="AB131" ca="1" si="10">MTBFS*10^-9*8760</f>
        <v>4.0296000000000004E-3</v>
      </c>
      <c r="AC131">
        <v>2</v>
      </c>
      <c r="AD131">
        <v>0</v>
      </c>
      <c r="AE131" s="49">
        <f ca="1"/>
        <v>8.0592000000000007E-3</v>
      </c>
      <c r="AF131" s="49">
        <f ca="1"/>
        <v>0</v>
      </c>
      <c r="AG131" s="22">
        <f t="shared" ca="1" si="8"/>
        <v>8.0592000000000007E-3</v>
      </c>
      <c r="AI131">
        <v>1</v>
      </c>
      <c r="AJ131" s="35">
        <f ca="1"/>
        <v>1.17713212583184E-4</v>
      </c>
      <c r="AK131" s="35">
        <f ca="1"/>
        <v>9.8550000000000005E-4</v>
      </c>
      <c r="AL131" s="35">
        <f ca="1"/>
        <v>2.1900000000000004E-4</v>
      </c>
      <c r="AM131" s="35">
        <f ca="1"/>
        <v>1.0079999999999999E-6</v>
      </c>
      <c r="AN131" t="b">
        <f>FETestsStaggered</f>
        <v>0</v>
      </c>
      <c r="AO131" s="3">
        <v>1</v>
      </c>
      <c r="AP131" s="233">
        <f ca="1"/>
        <v>1.362458950110912E-3</v>
      </c>
      <c r="AQ131" s="235"/>
      <c r="AR131" s="15">
        <f ca="1"/>
        <v>1.3431999999999999E-3</v>
      </c>
      <c r="AS131" s="24">
        <f ca="1">($AP131-AR131)/$AP131</f>
        <v>1.4135435133179115E-2</v>
      </c>
      <c r="AU131" s="35"/>
      <c r="AW131" s="226"/>
    </row>
    <row r="132" spans="1:52" x14ac:dyDescent="0.25">
      <c r="A132" s="55" t="s">
        <v>346</v>
      </c>
    </row>
    <row r="133" spans="1:52" x14ac:dyDescent="0.25">
      <c r="A133" s="55"/>
      <c r="AE133" s="49"/>
      <c r="AG133" s="49"/>
    </row>
    <row r="134" spans="1:52" x14ac:dyDescent="0.25">
      <c r="AE134" s="35"/>
    </row>
    <row r="135" spans="1:52" x14ac:dyDescent="0.25">
      <c r="AE135" s="35"/>
    </row>
    <row r="136" spans="1:52" x14ac:dyDescent="0.25">
      <c r="N136" s="75"/>
      <c r="O136" s="75"/>
    </row>
    <row r="137" spans="1:52" x14ac:dyDescent="0.25">
      <c r="N137" s="75"/>
      <c r="O137" s="75"/>
    </row>
    <row r="138" spans="1:52" x14ac:dyDescent="0.25">
      <c r="N138" s="75"/>
      <c r="O138" s="75"/>
    </row>
    <row r="139" spans="1:52" x14ac:dyDescent="0.25">
      <c r="N139" s="75"/>
      <c r="O139" s="75"/>
    </row>
    <row r="140" spans="1:52" x14ac:dyDescent="0.25">
      <c r="N140" s="75"/>
      <c r="O140" s="75"/>
    </row>
    <row r="141" spans="1:52" x14ac:dyDescent="0.25">
      <c r="N141" s="75"/>
      <c r="O141" s="75"/>
    </row>
  </sheetData>
  <mergeCells count="23">
    <mergeCell ref="E70:F70"/>
    <mergeCell ref="B58:O58"/>
    <mergeCell ref="AI111:AL111"/>
    <mergeCell ref="AN119:AN124"/>
    <mergeCell ref="F59:G59"/>
    <mergeCell ref="B60:O60"/>
    <mergeCell ref="F40:G40"/>
    <mergeCell ref="B41:O41"/>
    <mergeCell ref="B52:O52"/>
    <mergeCell ref="E54:F54"/>
    <mergeCell ref="B56:O56"/>
    <mergeCell ref="B39:O39"/>
    <mergeCell ref="E7:F7"/>
    <mergeCell ref="B9:O9"/>
    <mergeCell ref="B13:O13"/>
    <mergeCell ref="E15:F15"/>
    <mergeCell ref="B17:O17"/>
    <mergeCell ref="B19:O19"/>
    <mergeCell ref="F20:G20"/>
    <mergeCell ref="B21:O21"/>
    <mergeCell ref="B33:O33"/>
    <mergeCell ref="E35:F35"/>
    <mergeCell ref="B37:O37"/>
  </mergeCells>
  <conditionalFormatting sqref="AE129:AF129">
    <cfRule type="colorScale" priority="12">
      <colorScale>
        <cfvo type="min"/>
        <cfvo type="max"/>
        <color theme="0" tint="-0.14999847407452621"/>
        <color theme="5"/>
      </colorScale>
    </cfRule>
  </conditionalFormatting>
  <conditionalFormatting sqref="AE130:AF130">
    <cfRule type="colorScale" priority="7">
      <colorScale>
        <cfvo type="min"/>
        <cfvo type="max"/>
        <color theme="0" tint="-0.14999847407452621"/>
        <color theme="5"/>
      </colorScale>
    </cfRule>
  </conditionalFormatting>
  <conditionalFormatting sqref="AE131:AF131">
    <cfRule type="colorScale" priority="35">
      <colorScale>
        <cfvo type="min"/>
        <cfvo type="max"/>
        <color theme="0" tint="-0.14999847407452621"/>
        <color theme="5"/>
      </colorScale>
    </cfRule>
  </conditionalFormatting>
  <conditionalFormatting sqref="AJ129:AM129">
    <cfRule type="colorScale" priority="3">
      <colorScale>
        <cfvo type="min"/>
        <cfvo type="max"/>
        <color theme="0" tint="-4.9989318521683403E-2"/>
        <color theme="5" tint="-0.249977111117893"/>
      </colorScale>
    </cfRule>
  </conditionalFormatting>
  <conditionalFormatting sqref="AJ130:AM130">
    <cfRule type="colorScale" priority="2">
      <colorScale>
        <cfvo type="min"/>
        <cfvo type="max"/>
        <color theme="0" tint="-4.9989318521683403E-2"/>
        <color theme="5" tint="-0.249977111117893"/>
      </colorScale>
    </cfRule>
  </conditionalFormatting>
  <conditionalFormatting sqref="AJ131:AM131">
    <cfRule type="colorScale" priority="1">
      <colorScale>
        <cfvo type="min"/>
        <cfvo type="max"/>
        <color theme="0" tint="-4.9989318521683403E-2"/>
        <color theme="5" tint="-0.249977111117893"/>
      </colorScale>
    </cfRule>
  </conditionalFormatting>
  <dataValidations count="10">
    <dataValidation type="list" allowBlank="1" showInputMessage="1" showErrorMessage="1" sqref="J7 F5" xr:uid="{FBDC48C0-16E0-4923-9603-C938F31DA7C2}">
      <formula1>SIL</formula1>
    </dataValidation>
    <dataValidation type="list" allowBlank="1" showInputMessage="1" showErrorMessage="1" sqref="O24 O44 O63" xr:uid="{2BC5821D-BBD3-4642-B036-1296D8CD18CE}">
      <formula1>HFTmethods</formula1>
    </dataValidation>
    <dataValidation type="list" allowBlank="1" showInputMessage="1" showErrorMessage="1" sqref="D90:D91" xr:uid="{DE3F0B6C-C18E-4E3A-8A18-F39A73E89A1B}">
      <formula1>orders_of_magnitude</formula1>
    </dataValidation>
    <dataValidation type="list" allowBlank="1" showInputMessage="1" showErrorMessage="1" sqref="F20 F40 F59" xr:uid="{9712D2C0-E235-42A9-8642-25270857B94C}">
      <formula1>Suitability</formula1>
    </dataValidation>
    <dataValidation type="list" allowBlank="1" showInputMessage="1" showErrorMessage="1" sqref="O40 O20 O59" xr:uid="{9B0BB805-1EB7-4043-B2C9-EF129715A6E0}">
      <formula1>SClist</formula1>
    </dataValidation>
    <dataValidation type="whole" allowBlank="1" showInputMessage="1" showErrorMessage="1" error="Enter a whole number 1, 2 or 3" sqref="B124 D91" xr:uid="{2CCE8874-B6F9-45F9-9784-3BFEF683BC3D}">
      <formula1>1</formula1>
      <formula2>3</formula2>
    </dataValidation>
    <dataValidation type="list" allowBlank="1" showInputMessage="1" showErrorMessage="1" sqref="L27:L28 L47:L48 L66:L67" xr:uid="{92E0E1FB-3ACA-4780-B56C-D8E68AB30ACE}">
      <formula1>βvalues</formula1>
    </dataValidation>
    <dataValidation type="whole" allowBlank="1" showInputMessage="1" showErrorMessage="1" errorTitle="Out of range" error="Restricted to betwen 1 and N" promptTitle="Number needed for trip" prompt="Must be less than or equal to the number of channels" sqref="D62 D43 D23" xr:uid="{1B23EBF1-9DE6-4A67-A7A8-ADA9775C6534}">
      <formula1>1</formula1>
      <formula2>F23</formula2>
    </dataValidation>
    <dataValidation type="list" allowBlank="1" showInputMessage="1" showErrorMessage="1" promptTitle="Number of channels" prompt="Select a value from the drop down list" sqref="F62 F43 F23" xr:uid="{1EB94965-E860-41AC-8089-CBE964171B6A}">
      <formula1>Nrange</formula1>
    </dataValidation>
    <dataValidation type="list" allowBlank="1" showInputMessage="1" showErrorMessage="1" sqref="D28 D67" xr:uid="{358A936E-BF7C-45B8-B882-66636061C878}">
      <formula1>TrueOrFalse</formula1>
    </dataValidation>
  </dataValidations>
  <pageMargins left="0.7" right="0.49" top="0.49" bottom="0.44" header="0.3" footer="0.3"/>
  <pageSetup paperSize="8" orientation="landscape" r:id="rId1"/>
  <rowBreaks count="1" manualBreakCount="1">
    <brk id="69"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9146-E19E-4F21-9438-6E95EEA5328D}">
  <dimension ref="A1:AN133"/>
  <sheetViews>
    <sheetView topLeftCell="A3" zoomScale="115" zoomScaleNormal="115" workbookViewId="0">
      <selection activeCell="E7" sqref="E7:F7"/>
    </sheetView>
  </sheetViews>
  <sheetFormatPr defaultRowHeight="15" x14ac:dyDescent="0.25"/>
  <cols>
    <col min="1" max="1" width="11.42578125" customWidth="1"/>
    <col min="2" max="2" width="13" customWidth="1"/>
    <col min="4" max="4" width="12.42578125" customWidth="1"/>
    <col min="5" max="5" width="16" customWidth="1"/>
    <col min="6" max="6" width="13.28515625" customWidth="1"/>
    <col min="7" max="7" width="14.5703125" customWidth="1"/>
    <col min="8" max="8" width="15.7109375" customWidth="1"/>
    <col min="9" max="9" width="9.140625" customWidth="1"/>
    <col min="10" max="10" width="11.140625" customWidth="1"/>
    <col min="11" max="11" width="11" customWidth="1"/>
    <col min="12" max="12" width="20" customWidth="1"/>
    <col min="13" max="13" width="14.28515625" customWidth="1"/>
    <col min="14" max="14" width="12.7109375" customWidth="1"/>
    <col min="15" max="15" width="11.7109375" customWidth="1"/>
    <col min="16" max="16" width="10.42578125" customWidth="1"/>
    <col min="17" max="17" width="12" bestFit="1" customWidth="1"/>
    <col min="18" max="18" width="14.5703125" customWidth="1"/>
    <col min="20" max="20" width="11" bestFit="1" customWidth="1"/>
    <col min="21" max="22" width="10.42578125" customWidth="1"/>
    <col min="26" max="26" width="9.5703125" bestFit="1" customWidth="1"/>
    <col min="29" max="29" width="12.42578125" customWidth="1"/>
    <col min="32" max="32" width="12.42578125" customWidth="1"/>
    <col min="33" max="33" width="10" customWidth="1"/>
    <col min="34" max="34" width="13.5703125" customWidth="1"/>
    <col min="41" max="41" width="10.42578125" customWidth="1"/>
    <col min="42" max="42" width="13.140625" bestFit="1" customWidth="1"/>
    <col min="43" max="43" width="10.5703125" customWidth="1"/>
    <col min="46" max="47" width="12.28515625" bestFit="1" customWidth="1"/>
  </cols>
  <sheetData>
    <row r="1" spans="1:15" ht="61.5" customHeight="1" x14ac:dyDescent="0.25">
      <c r="B1" s="34" t="s">
        <v>308</v>
      </c>
      <c r="C1" s="75"/>
      <c r="D1" s="75"/>
      <c r="E1" s="75"/>
      <c r="F1" s="75"/>
      <c r="G1" s="75"/>
      <c r="H1" s="75"/>
      <c r="I1" s="75"/>
      <c r="J1" s="75"/>
      <c r="K1" s="75"/>
      <c r="L1" s="75"/>
      <c r="M1" s="75"/>
      <c r="N1" s="75"/>
      <c r="O1" s="75"/>
    </row>
    <row r="2" spans="1:15" ht="21" x14ac:dyDescent="0.25">
      <c r="A2" s="34"/>
      <c r="B2" s="75"/>
      <c r="C2" s="75"/>
      <c r="D2" s="75"/>
      <c r="E2" s="75"/>
      <c r="F2" s="75"/>
      <c r="G2" s="75"/>
      <c r="H2" s="75"/>
      <c r="I2" s="75"/>
      <c r="J2" s="75"/>
      <c r="K2" s="75"/>
      <c r="L2" s="75"/>
      <c r="M2" s="75"/>
      <c r="N2" s="75"/>
      <c r="O2" s="75"/>
    </row>
    <row r="3" spans="1:15" ht="20.25" x14ac:dyDescent="0.25">
      <c r="A3" s="109" t="s">
        <v>42</v>
      </c>
      <c r="B3" s="75"/>
      <c r="C3" s="75"/>
      <c r="D3" s="75"/>
      <c r="E3" s="75"/>
      <c r="F3" s="75"/>
      <c r="G3" s="75"/>
      <c r="H3" s="75"/>
      <c r="I3" s="75"/>
      <c r="J3" s="75"/>
      <c r="L3" s="109" t="s">
        <v>419</v>
      </c>
      <c r="M3" s="75"/>
      <c r="N3" s="75"/>
      <c r="O3" s="75"/>
    </row>
    <row r="4" spans="1:15" x14ac:dyDescent="0.25">
      <c r="A4" s="110" t="s">
        <v>53</v>
      </c>
      <c r="B4" s="75"/>
      <c r="C4" s="75"/>
      <c r="D4" s="75"/>
      <c r="E4" s="75"/>
      <c r="F4" s="111"/>
      <c r="H4" s="75"/>
      <c r="I4" s="112" t="s">
        <v>229</v>
      </c>
      <c r="J4" s="112"/>
      <c r="K4" s="112"/>
      <c r="L4" s="112"/>
      <c r="M4" s="112"/>
      <c r="N4" s="112"/>
      <c r="O4" s="75"/>
    </row>
    <row r="5" spans="1:15" x14ac:dyDescent="0.25">
      <c r="A5" s="110" t="s">
        <v>347</v>
      </c>
      <c r="B5" s="75"/>
      <c r="C5" s="75"/>
      <c r="D5" s="75"/>
      <c r="E5" s="75"/>
      <c r="F5" s="198"/>
      <c r="G5" s="75"/>
      <c r="H5" s="75"/>
      <c r="I5" s="75"/>
      <c r="J5" s="75"/>
      <c r="K5" s="75"/>
      <c r="L5" s="75"/>
      <c r="M5" s="75"/>
      <c r="N5" s="75"/>
      <c r="O5" s="75"/>
    </row>
    <row r="6" spans="1:15" x14ac:dyDescent="0.25">
      <c r="A6" s="75"/>
      <c r="B6" s="75"/>
      <c r="C6" s="75"/>
      <c r="D6" s="75"/>
      <c r="E6" s="75"/>
      <c r="F6" s="75"/>
      <c r="G6" s="75"/>
      <c r="H6" s="75"/>
      <c r="I6" s="75"/>
      <c r="J6" s="75"/>
      <c r="K6" s="75"/>
      <c r="L6" s="75"/>
      <c r="M6" s="75"/>
      <c r="N6" s="75"/>
      <c r="O6" s="75"/>
    </row>
    <row r="7" spans="1:15" ht="21" x14ac:dyDescent="0.25">
      <c r="A7" s="109" t="s">
        <v>175</v>
      </c>
      <c r="B7" s="113"/>
      <c r="C7" s="113"/>
      <c r="D7" s="113"/>
      <c r="E7" s="243" t="s">
        <v>368</v>
      </c>
      <c r="F7" s="243"/>
      <c r="G7" s="113"/>
      <c r="H7" s="113"/>
      <c r="I7" s="114" t="s">
        <v>178</v>
      </c>
      <c r="J7" s="186">
        <v>2</v>
      </c>
      <c r="K7" s="109"/>
      <c r="L7" s="109"/>
      <c r="M7" s="114" t="s">
        <v>366</v>
      </c>
      <c r="N7" s="215">
        <f>10^-6</f>
        <v>9.9999999999999995E-7</v>
      </c>
      <c r="O7" s="210" t="s">
        <v>367</v>
      </c>
    </row>
    <row r="8" spans="1:15" ht="20.25" x14ac:dyDescent="0.25">
      <c r="A8" s="115"/>
      <c r="B8" s="110" t="s">
        <v>176</v>
      </c>
      <c r="C8" s="75"/>
      <c r="D8" s="75"/>
      <c r="E8" s="75"/>
      <c r="F8" s="75"/>
      <c r="G8" s="75"/>
      <c r="H8" s="75"/>
      <c r="I8" s="75"/>
      <c r="J8" s="75"/>
      <c r="K8" s="109"/>
      <c r="L8" s="75"/>
      <c r="M8" s="75"/>
      <c r="N8" s="75"/>
      <c r="O8" s="75"/>
    </row>
    <row r="9" spans="1:15" x14ac:dyDescent="0.25">
      <c r="A9" s="115"/>
      <c r="B9" s="244" t="s">
        <v>348</v>
      </c>
      <c r="C9" s="244"/>
      <c r="D9" s="244"/>
      <c r="E9" s="244"/>
      <c r="F9" s="244"/>
      <c r="G9" s="244"/>
      <c r="H9" s="244"/>
      <c r="I9" s="244"/>
      <c r="J9" s="244"/>
      <c r="K9" s="244"/>
      <c r="L9" s="244"/>
      <c r="M9" s="244"/>
      <c r="N9" s="244"/>
      <c r="O9" s="244"/>
    </row>
    <row r="10" spans="1:15" x14ac:dyDescent="0.25">
      <c r="A10" s="75"/>
      <c r="B10" s="75"/>
      <c r="C10" s="75"/>
      <c r="D10" s="75"/>
      <c r="E10" s="75"/>
      <c r="F10" s="75"/>
      <c r="G10" s="75"/>
      <c r="H10" s="75"/>
      <c r="I10" s="75"/>
      <c r="J10" s="75"/>
      <c r="K10" s="75"/>
      <c r="L10" s="75"/>
      <c r="M10" s="75"/>
      <c r="N10" s="75"/>
      <c r="O10" s="75"/>
    </row>
    <row r="11" spans="1:15" ht="18" x14ac:dyDescent="0.25">
      <c r="A11" s="99" t="s">
        <v>43</v>
      </c>
      <c r="B11" s="75"/>
      <c r="C11" s="75"/>
      <c r="D11" s="75"/>
      <c r="E11" s="75"/>
      <c r="F11" s="75"/>
      <c r="G11" s="75"/>
      <c r="H11" s="75"/>
      <c r="I11" s="75"/>
      <c r="J11" s="75"/>
      <c r="K11" s="75"/>
      <c r="L11" s="75"/>
      <c r="M11" s="75"/>
      <c r="N11" s="75"/>
      <c r="O11" s="75"/>
    </row>
    <row r="12" spans="1:15" x14ac:dyDescent="0.25">
      <c r="A12" s="115"/>
      <c r="B12" s="110" t="s">
        <v>177</v>
      </c>
      <c r="C12" s="75"/>
      <c r="D12" s="75"/>
      <c r="E12" s="75"/>
      <c r="F12" s="75"/>
      <c r="G12" s="75"/>
      <c r="H12" s="75"/>
      <c r="I12" s="75"/>
      <c r="J12" s="75"/>
      <c r="K12" s="75"/>
      <c r="L12" s="75"/>
      <c r="M12" s="75"/>
      <c r="N12" s="75"/>
      <c r="O12" s="75"/>
    </row>
    <row r="13" spans="1:15" ht="33.75" customHeight="1" x14ac:dyDescent="0.25">
      <c r="A13" s="115"/>
      <c r="B13" s="245" t="s">
        <v>349</v>
      </c>
      <c r="C13" s="245"/>
      <c r="D13" s="245"/>
      <c r="E13" s="245"/>
      <c r="F13" s="245"/>
      <c r="G13" s="245"/>
      <c r="H13" s="245"/>
      <c r="I13" s="245"/>
      <c r="J13" s="245"/>
      <c r="K13" s="245"/>
      <c r="L13" s="245"/>
      <c r="M13" s="245"/>
      <c r="N13" s="245"/>
      <c r="O13" s="245"/>
    </row>
    <row r="14" spans="1:15" ht="18" x14ac:dyDescent="0.25">
      <c r="A14" s="99"/>
      <c r="B14" s="75"/>
      <c r="C14" s="75"/>
      <c r="D14" s="75"/>
      <c r="E14" s="75"/>
      <c r="F14" s="75"/>
      <c r="G14" s="75"/>
      <c r="H14" s="75"/>
      <c r="I14" s="75"/>
      <c r="J14" s="75"/>
      <c r="K14" s="75"/>
      <c r="L14" s="75"/>
      <c r="M14" s="75"/>
      <c r="N14" s="75"/>
      <c r="O14" s="75"/>
    </row>
    <row r="15" spans="1:15" ht="18" x14ac:dyDescent="0.25">
      <c r="A15" s="99"/>
      <c r="B15" s="110" t="s">
        <v>160</v>
      </c>
      <c r="C15" s="75"/>
      <c r="D15" s="75"/>
      <c r="E15" s="244" t="s">
        <v>128</v>
      </c>
      <c r="F15" s="244"/>
      <c r="G15" s="75"/>
      <c r="H15" s="75"/>
      <c r="I15" s="110" t="s">
        <v>89</v>
      </c>
      <c r="J15" s="116" t="str" cm="1">
        <f t="array" aca="1" ref="J15" ca="1">INDIRECT(SensorFMEA&amp;"!Eqpt_ID")</f>
        <v>PZHH01</v>
      </c>
      <c r="K15" s="75"/>
      <c r="L15" s="75"/>
      <c r="M15" s="75"/>
      <c r="N15" s="75"/>
      <c r="O15" s="75"/>
    </row>
    <row r="16" spans="1:15" ht="18" x14ac:dyDescent="0.25">
      <c r="A16" s="99"/>
      <c r="B16" s="110" t="s">
        <v>154</v>
      </c>
      <c r="C16" s="75"/>
      <c r="D16" s="75"/>
      <c r="E16" s="75"/>
      <c r="F16" s="75"/>
      <c r="G16" s="75"/>
      <c r="H16" s="75"/>
      <c r="I16" s="75"/>
      <c r="J16" s="75"/>
      <c r="K16" s="75"/>
      <c r="L16" s="75"/>
      <c r="M16" s="75"/>
      <c r="N16" s="75"/>
      <c r="O16" s="75"/>
    </row>
    <row r="17" spans="1:15" ht="18" x14ac:dyDescent="0.25">
      <c r="A17" s="99"/>
      <c r="B17" s="242" t="str" cm="1">
        <f t="array" aca="1" ref="B17" ca="1">INDIRECT(SensorFMEA&amp;"!Manufacturers_and_models")</f>
        <v>Generic 4-20mA pressure transmitter with impulse line connection</v>
      </c>
      <c r="C17" s="242"/>
      <c r="D17" s="242"/>
      <c r="E17" s="242"/>
      <c r="F17" s="242"/>
      <c r="G17" s="242"/>
      <c r="H17" s="242"/>
      <c r="I17" s="242"/>
      <c r="J17" s="242"/>
      <c r="K17" s="242"/>
      <c r="L17" s="242"/>
      <c r="M17" s="242"/>
      <c r="N17" s="242"/>
      <c r="O17" s="242"/>
    </row>
    <row r="18" spans="1:15" ht="18" x14ac:dyDescent="0.25">
      <c r="A18" s="99"/>
      <c r="B18" s="110" t="s">
        <v>52</v>
      </c>
      <c r="C18" s="75"/>
      <c r="D18" s="75"/>
      <c r="E18" s="75"/>
      <c r="F18" s="75"/>
      <c r="G18" s="75"/>
      <c r="H18" s="75"/>
      <c r="I18" s="75"/>
      <c r="J18" s="75"/>
      <c r="K18" s="75"/>
      <c r="L18" s="75"/>
      <c r="M18" s="75"/>
      <c r="N18" s="75"/>
      <c r="O18" s="75"/>
    </row>
    <row r="19" spans="1:15" ht="18" x14ac:dyDescent="0.25">
      <c r="A19" s="99"/>
      <c r="B19" s="242" t="str" cm="1">
        <f t="array" aca="1" ref="B19" ca="1">INDIRECT(SensorFMEA&amp;"!references")</f>
        <v>Quote references sources here</v>
      </c>
      <c r="C19" s="242"/>
      <c r="D19" s="242"/>
      <c r="E19" s="242"/>
      <c r="F19" s="242"/>
      <c r="G19" s="242"/>
      <c r="H19" s="242"/>
      <c r="I19" s="242"/>
      <c r="J19" s="242"/>
      <c r="K19" s="242"/>
      <c r="L19" s="242"/>
      <c r="M19" s="242"/>
      <c r="N19" s="242"/>
      <c r="O19" s="242"/>
    </row>
    <row r="20" spans="1:15" ht="18" x14ac:dyDescent="0.25">
      <c r="A20" s="99"/>
      <c r="B20" s="110" t="s">
        <v>54</v>
      </c>
      <c r="C20" s="75"/>
      <c r="D20" s="75"/>
      <c r="E20" s="75"/>
      <c r="F20" s="246" t="s">
        <v>277</v>
      </c>
      <c r="G20" s="246"/>
      <c r="H20" s="75"/>
      <c r="I20" s="110"/>
      <c r="J20" s="75"/>
      <c r="K20" s="110" t="s">
        <v>292</v>
      </c>
      <c r="L20" s="75"/>
      <c r="M20" s="75"/>
      <c r="N20" s="75"/>
      <c r="O20" s="188">
        <v>1</v>
      </c>
    </row>
    <row r="21" spans="1:15" ht="18" x14ac:dyDescent="0.25">
      <c r="A21" s="99"/>
      <c r="B21" s="242" t="str" cm="1">
        <f t="array" aca="1" ref="B21" ca="1">INDIRECT(SensorFMEA&amp;"!Suitability")</f>
        <v>Refer to either a safety manual or to a prior use analysis report</v>
      </c>
      <c r="C21" s="242"/>
      <c r="D21" s="242"/>
      <c r="E21" s="242"/>
      <c r="F21" s="242"/>
      <c r="G21" s="242"/>
      <c r="H21" s="242"/>
      <c r="I21" s="242"/>
      <c r="J21" s="242"/>
      <c r="K21" s="242"/>
      <c r="L21" s="242"/>
      <c r="M21" s="242"/>
      <c r="N21" s="242"/>
      <c r="O21" s="242"/>
    </row>
    <row r="22" spans="1:15" ht="18.75" x14ac:dyDescent="0.25">
      <c r="A22" s="75"/>
      <c r="B22" s="117" t="s">
        <v>280</v>
      </c>
      <c r="C22" s="75"/>
      <c r="D22" s="75"/>
      <c r="E22" s="75"/>
      <c r="F22" s="75"/>
      <c r="G22" s="75"/>
      <c r="H22" s="75"/>
      <c r="I22" s="75"/>
      <c r="J22" s="75"/>
      <c r="K22" s="75"/>
      <c r="L22" s="75"/>
      <c r="M22" s="75"/>
      <c r="N22" s="75"/>
      <c r="O22" s="75"/>
    </row>
    <row r="23" spans="1:15" ht="18" x14ac:dyDescent="0.25">
      <c r="A23" s="99"/>
      <c r="B23" s="110" t="s">
        <v>231</v>
      </c>
      <c r="C23" s="75"/>
      <c r="D23" s="111">
        <v>1</v>
      </c>
      <c r="E23" s="83" t="s">
        <v>332</v>
      </c>
      <c r="F23" s="111">
        <v>1</v>
      </c>
      <c r="I23" s="55" t="s">
        <v>166</v>
      </c>
      <c r="J23" s="75"/>
      <c r="K23" s="118">
        <f>SensorN-SensorM</f>
        <v>0</v>
      </c>
      <c r="L23" s="75"/>
      <c r="M23" s="75"/>
      <c r="N23" s="75"/>
      <c r="O23" s="75"/>
    </row>
    <row r="24" spans="1:15" ht="18" x14ac:dyDescent="0.25">
      <c r="A24" s="99"/>
      <c r="B24" s="110" t="s">
        <v>230</v>
      </c>
      <c r="C24" s="75"/>
      <c r="D24" s="119" cm="1">
        <f t="array" aca="1" ref="D24" ca="1">INDEX(Route1H_Tables,K24,SensorHFT+2)</f>
        <v>1</v>
      </c>
      <c r="E24" s="75"/>
      <c r="F24" s="55" t="s">
        <v>233</v>
      </c>
      <c r="G24" s="75"/>
      <c r="H24" s="118" t="str" cm="1">
        <f t="array" aca="1" ref="H24" ca="1">INDIRECT(SensorFMEA&amp;"!HFTType")</f>
        <v>Type B</v>
      </c>
      <c r="I24" s="73" t="s">
        <v>125</v>
      </c>
      <c r="J24" s="120">
        <f ca="1">VLOOKUP(SelectedSensorSystem,SubSysTable,23,FALSE)</f>
        <v>0.80975609756097555</v>
      </c>
      <c r="K24" s="121">
        <f ca="1">IF(H24="Type A",MATCH(J24,SFFRange,1),MATCH(J24,SFFRange,1)+10)</f>
        <v>12</v>
      </c>
      <c r="L24" s="75"/>
      <c r="M24" s="110" t="s">
        <v>261</v>
      </c>
      <c r="N24" s="75"/>
      <c r="O24" s="187" t="s">
        <v>265</v>
      </c>
    </row>
    <row r="25" spans="1:15" ht="18" x14ac:dyDescent="0.25">
      <c r="A25" s="99"/>
      <c r="B25" s="110" t="s">
        <v>232</v>
      </c>
      <c r="C25" s="75"/>
      <c r="D25" s="119">
        <f>VLOOKUP(SensorHFT,HFTtoSIL61511,2)</f>
        <v>2</v>
      </c>
      <c r="E25" s="75"/>
      <c r="F25" s="110" t="s">
        <v>234</v>
      </c>
      <c r="G25" s="75"/>
      <c r="H25" s="75"/>
      <c r="I25" s="75"/>
      <c r="J25" s="75"/>
      <c r="K25" s="75"/>
      <c r="L25" s="75"/>
      <c r="M25" s="75"/>
      <c r="N25" s="75"/>
      <c r="O25" s="119" cm="1">
        <f t="array" ref="O25">IF(SensorSuitability="Evidence not available",0,INDEX(D24:D29,VLOOKUP(O24,HFT_method_index,2,FALSE)))</f>
        <v>2</v>
      </c>
    </row>
    <row r="26" spans="1:15" ht="18" x14ac:dyDescent="0.25">
      <c r="A26" s="99"/>
      <c r="B26" s="110" t="s">
        <v>235</v>
      </c>
      <c r="C26" s="75"/>
      <c r="D26" s="119">
        <f>D25</f>
        <v>2</v>
      </c>
      <c r="E26" s="75"/>
      <c r="F26" s="110" t="s">
        <v>236</v>
      </c>
      <c r="G26" s="75"/>
      <c r="H26" s="75"/>
      <c r="I26" s="75"/>
      <c r="J26" s="75"/>
      <c r="K26" s="75"/>
      <c r="L26" s="75"/>
      <c r="M26" s="75"/>
      <c r="N26" s="75"/>
      <c r="O26" s="75"/>
    </row>
    <row r="27" spans="1:15" ht="18" x14ac:dyDescent="0.3">
      <c r="A27" s="99"/>
      <c r="B27" s="110" t="s">
        <v>382</v>
      </c>
      <c r="C27" s="75"/>
      <c r="D27" s="111">
        <v>1</v>
      </c>
      <c r="E27" s="75"/>
      <c r="H27" s="110" t="s">
        <v>336</v>
      </c>
      <c r="I27" s="111">
        <v>3</v>
      </c>
      <c r="K27" s="193" t="s">
        <v>338</v>
      </c>
      <c r="L27" s="197">
        <v>0.1</v>
      </c>
      <c r="M27" s="75" t="s">
        <v>341</v>
      </c>
      <c r="N27" s="75"/>
      <c r="O27" s="75"/>
    </row>
    <row r="28" spans="1:15" ht="18" x14ac:dyDescent="0.3">
      <c r="A28" s="99"/>
      <c r="B28" s="110"/>
      <c r="C28" s="75"/>
      <c r="D28" s="75"/>
      <c r="E28" s="75"/>
      <c r="H28" s="110" t="s">
        <v>337</v>
      </c>
      <c r="I28" s="111">
        <v>3</v>
      </c>
      <c r="K28" s="193" t="s">
        <v>339</v>
      </c>
      <c r="L28" s="197">
        <v>0.1</v>
      </c>
      <c r="M28" s="75" t="s">
        <v>340</v>
      </c>
      <c r="N28" s="75"/>
      <c r="O28" s="75"/>
    </row>
    <row r="29" spans="1:15" ht="18" x14ac:dyDescent="0.25">
      <c r="A29" s="99"/>
      <c r="B29" s="110"/>
      <c r="C29" s="75"/>
      <c r="D29" s="75"/>
      <c r="E29" s="75"/>
      <c r="F29" s="110"/>
      <c r="G29" s="75"/>
      <c r="H29" s="75"/>
      <c r="I29" s="75"/>
      <c r="J29" s="75"/>
      <c r="K29" s="75"/>
      <c r="L29" s="75"/>
      <c r="M29" s="75"/>
      <c r="N29" s="75"/>
      <c r="O29" s="75"/>
    </row>
    <row r="30" spans="1:15" ht="18" x14ac:dyDescent="0.25">
      <c r="A30" s="99" t="s">
        <v>211</v>
      </c>
      <c r="B30" s="75"/>
      <c r="C30" s="75"/>
      <c r="D30" s="75"/>
      <c r="E30" s="75"/>
      <c r="F30" s="75"/>
      <c r="G30" s="75"/>
      <c r="H30" s="75"/>
      <c r="I30" s="75"/>
      <c r="J30" s="75"/>
      <c r="K30" s="75"/>
      <c r="L30" s="75"/>
      <c r="M30" s="75"/>
      <c r="N30" s="75"/>
      <c r="O30" s="75"/>
    </row>
    <row r="31" spans="1:15" x14ac:dyDescent="0.25">
      <c r="A31" s="115"/>
      <c r="B31" s="110" t="s">
        <v>213</v>
      </c>
      <c r="C31" s="75"/>
      <c r="D31" s="75"/>
      <c r="E31" s="75"/>
      <c r="F31" s="75"/>
      <c r="G31" s="75"/>
      <c r="H31" s="75"/>
      <c r="I31" s="75"/>
      <c r="J31" s="75"/>
      <c r="K31" s="75"/>
      <c r="L31" s="75"/>
      <c r="M31" s="75"/>
      <c r="N31" s="75"/>
      <c r="O31" s="75"/>
    </row>
    <row r="32" spans="1:15" ht="33.75" customHeight="1" x14ac:dyDescent="0.25">
      <c r="A32" s="115"/>
      <c r="B32" s="245"/>
      <c r="C32" s="245"/>
      <c r="D32" s="245"/>
      <c r="E32" s="245"/>
      <c r="F32" s="245"/>
      <c r="G32" s="245"/>
      <c r="H32" s="245"/>
      <c r="I32" s="245"/>
      <c r="J32" s="245"/>
      <c r="K32" s="245"/>
      <c r="L32" s="245"/>
      <c r="M32" s="245"/>
      <c r="N32" s="245"/>
      <c r="O32" s="245"/>
    </row>
    <row r="33" spans="1:15" ht="18" x14ac:dyDescent="0.25">
      <c r="A33" s="99"/>
      <c r="B33" s="75"/>
      <c r="C33" s="75"/>
      <c r="D33" s="75"/>
      <c r="E33" s="75"/>
      <c r="F33" s="75"/>
      <c r="G33" s="75"/>
      <c r="H33" s="75"/>
      <c r="I33" s="75"/>
      <c r="J33" s="75"/>
      <c r="K33" s="75"/>
      <c r="L33" s="75"/>
      <c r="M33" s="75"/>
      <c r="N33" s="75"/>
      <c r="O33" s="75"/>
    </row>
    <row r="34" spans="1:15" ht="18" x14ac:dyDescent="0.25">
      <c r="A34" s="99"/>
      <c r="B34" s="110" t="s">
        <v>160</v>
      </c>
      <c r="C34" s="75"/>
      <c r="D34" s="75"/>
      <c r="E34" s="244" t="s">
        <v>185</v>
      </c>
      <c r="F34" s="244"/>
      <c r="G34" s="75"/>
      <c r="H34" s="75"/>
      <c r="I34" s="110" t="s">
        <v>89</v>
      </c>
      <c r="J34" s="116" t="str" cm="1">
        <f t="array" aca="1" ref="J34" ca="1">INDIRECT(SolverFMEA&amp;"!Eqpt_ID")</f>
        <v>Solver1</v>
      </c>
      <c r="K34" s="75"/>
      <c r="L34" s="75"/>
      <c r="M34" s="75"/>
      <c r="N34" s="75"/>
      <c r="O34" s="75"/>
    </row>
    <row r="35" spans="1:15" ht="18" x14ac:dyDescent="0.25">
      <c r="A35" s="99"/>
      <c r="B35" s="110" t="s">
        <v>154</v>
      </c>
      <c r="C35" s="75"/>
      <c r="D35" s="75"/>
      <c r="E35" s="75" t="s">
        <v>162</v>
      </c>
      <c r="F35" s="75"/>
      <c r="G35" s="75"/>
      <c r="H35" s="75"/>
      <c r="I35" s="75"/>
      <c r="J35" s="75"/>
      <c r="K35" s="75"/>
      <c r="L35" s="75"/>
      <c r="M35" s="75"/>
      <c r="N35" s="75"/>
      <c r="O35" s="75"/>
    </row>
    <row r="36" spans="1:15" ht="18" x14ac:dyDescent="0.25">
      <c r="A36" s="99"/>
      <c r="B36" s="242" t="str" cm="1">
        <f t="array" aca="1" ref="B36" ca="1">INDIRECT(SolverFMEA&amp;"!Manufacturers_and_models")</f>
        <v>Generic 2oo3</v>
      </c>
      <c r="C36" s="242"/>
      <c r="D36" s="242"/>
      <c r="E36" s="242"/>
      <c r="F36" s="242"/>
      <c r="G36" s="242"/>
      <c r="H36" s="242"/>
      <c r="I36" s="242"/>
      <c r="J36" s="242"/>
      <c r="K36" s="242"/>
      <c r="L36" s="242"/>
      <c r="M36" s="242"/>
      <c r="N36" s="242"/>
      <c r="O36" s="242"/>
    </row>
    <row r="37" spans="1:15" ht="18" x14ac:dyDescent="0.25">
      <c r="A37" s="99"/>
      <c r="B37" s="110" t="s">
        <v>52</v>
      </c>
      <c r="C37" s="75"/>
      <c r="D37" s="75"/>
      <c r="E37" s="75"/>
      <c r="F37" s="75"/>
      <c r="G37" s="75"/>
      <c r="H37" s="75"/>
      <c r="I37" s="75"/>
      <c r="J37" s="75"/>
      <c r="K37" s="75"/>
      <c r="L37" s="75"/>
      <c r="M37" s="75"/>
      <c r="N37" s="75"/>
      <c r="O37" s="75"/>
    </row>
    <row r="38" spans="1:15" ht="18" x14ac:dyDescent="0.25">
      <c r="A38" s="99"/>
      <c r="B38" s="242" t="str" cm="1">
        <f t="array" aca="1" ref="B38" ca="1">INDIRECT(SolverFMEA&amp;"!references")</f>
        <v>Quote references sources here</v>
      </c>
      <c r="C38" s="242"/>
      <c r="D38" s="242"/>
      <c r="E38" s="242"/>
      <c r="F38" s="242"/>
      <c r="G38" s="242"/>
      <c r="H38" s="242"/>
      <c r="I38" s="242"/>
      <c r="J38" s="242"/>
      <c r="K38" s="242"/>
      <c r="L38" s="242"/>
      <c r="M38" s="242"/>
      <c r="N38" s="242"/>
      <c r="O38" s="242"/>
    </row>
    <row r="39" spans="1:15" ht="18" x14ac:dyDescent="0.25">
      <c r="A39" s="99"/>
      <c r="B39" s="110" t="s">
        <v>54</v>
      </c>
      <c r="C39" s="75"/>
      <c r="D39" s="75"/>
      <c r="E39" s="75"/>
      <c r="F39" s="246" t="s">
        <v>277</v>
      </c>
      <c r="G39" s="246"/>
      <c r="H39" s="75"/>
      <c r="I39" s="75"/>
      <c r="J39" s="75"/>
      <c r="K39" s="110" t="s">
        <v>292</v>
      </c>
      <c r="L39" s="75"/>
      <c r="M39" s="75"/>
      <c r="N39" s="75"/>
      <c r="O39" s="188">
        <v>3</v>
      </c>
    </row>
    <row r="40" spans="1:15" ht="18" x14ac:dyDescent="0.25">
      <c r="A40" s="99"/>
      <c r="B40" s="242" t="str" cm="1">
        <f t="array" aca="1" ref="B40" ca="1">INDIRECT(SolverFMEA&amp;"!Suitability")</f>
        <v>Refer to either a safety manual or to a prior use analysis report</v>
      </c>
      <c r="C40" s="242"/>
      <c r="D40" s="242"/>
      <c r="E40" s="242"/>
      <c r="F40" s="242"/>
      <c r="G40" s="242"/>
      <c r="H40" s="242"/>
      <c r="I40" s="242"/>
      <c r="J40" s="242"/>
      <c r="K40" s="242"/>
      <c r="L40" s="242"/>
      <c r="M40" s="242"/>
      <c r="N40" s="242"/>
      <c r="O40" s="242"/>
    </row>
    <row r="41" spans="1:15" ht="18.75" x14ac:dyDescent="0.25">
      <c r="A41" s="75"/>
      <c r="B41" s="117" t="s">
        <v>280</v>
      </c>
      <c r="C41" s="75"/>
      <c r="D41" s="75"/>
      <c r="E41" s="75"/>
      <c r="F41" s="75"/>
      <c r="G41" s="75"/>
      <c r="H41" s="75"/>
      <c r="I41" s="75"/>
      <c r="J41" s="75"/>
      <c r="K41" s="75"/>
      <c r="L41" s="75"/>
      <c r="M41" s="75"/>
      <c r="N41" s="75"/>
      <c r="O41" s="75"/>
    </row>
    <row r="42" spans="1:15" ht="18" x14ac:dyDescent="0.25">
      <c r="A42" s="99"/>
      <c r="B42" s="110" t="s">
        <v>231</v>
      </c>
      <c r="C42" s="75"/>
      <c r="D42" s="111">
        <v>1</v>
      </c>
      <c r="E42" s="83" t="s">
        <v>332</v>
      </c>
      <c r="F42" s="111">
        <v>3</v>
      </c>
      <c r="I42" s="55" t="s">
        <v>166</v>
      </c>
      <c r="J42" s="73"/>
      <c r="K42" s="118">
        <f>SolverN-SolverM</f>
        <v>2</v>
      </c>
      <c r="L42" s="75"/>
      <c r="M42" s="75"/>
      <c r="N42" s="75"/>
      <c r="O42" s="75"/>
    </row>
    <row r="43" spans="1:15" ht="18" x14ac:dyDescent="0.25">
      <c r="A43" s="99"/>
      <c r="B43" s="110" t="s">
        <v>230</v>
      </c>
      <c r="C43" s="75"/>
      <c r="D43" s="119" cm="1">
        <f t="array" aca="1" ref="D43" ca="1">INDEX(Route1H_Tables,K43,SolverHFT+2)</f>
        <v>4</v>
      </c>
      <c r="E43" s="75"/>
      <c r="F43" s="55" t="s">
        <v>233</v>
      </c>
      <c r="G43" s="75"/>
      <c r="H43" s="118" t="str" cm="1">
        <f t="array" aca="1" ref="H43" ca="1">INDIRECT(SolverFMEA&amp;"!HFTType")</f>
        <v>Type B</v>
      </c>
      <c r="I43" s="73" t="s">
        <v>125</v>
      </c>
      <c r="J43" s="120">
        <f ca="1">VLOOKUP(SelectedSolver,SubSysTable,23,FALSE)</f>
        <v>0.95454545454545459</v>
      </c>
      <c r="K43" s="121">
        <f ca="1">IF(H43="Type A",MATCH(J43,SFFRange,1),MATCH(J43,SFFRange,1)+10)</f>
        <v>13</v>
      </c>
      <c r="L43" s="75"/>
      <c r="M43" s="110" t="s">
        <v>261</v>
      </c>
      <c r="N43" s="75"/>
      <c r="O43" s="187" t="s">
        <v>266</v>
      </c>
    </row>
    <row r="44" spans="1:15" ht="18" x14ac:dyDescent="0.25">
      <c r="A44" s="99"/>
      <c r="B44" s="110" t="s">
        <v>232</v>
      </c>
      <c r="C44" s="75"/>
      <c r="D44" s="119">
        <f>VLOOKUP(SolverHFT,HFTtoSIL61511,2)</f>
        <v>4</v>
      </c>
      <c r="E44" s="75"/>
      <c r="F44" s="110" t="s">
        <v>234</v>
      </c>
      <c r="G44" s="75"/>
      <c r="H44" s="75"/>
      <c r="I44" s="75"/>
      <c r="J44" s="75"/>
      <c r="K44" s="75"/>
      <c r="L44" s="75"/>
      <c r="M44" s="75"/>
      <c r="N44" s="75"/>
      <c r="O44" s="119" cm="1">
        <f t="array" aca="1" ref="O44" ca="1">IF(SolverSuitability="Evidence not available",0,INDEX(D43:D45,VLOOKUP(O43,HFT_method_index,2,FALSE)))</f>
        <v>4</v>
      </c>
    </row>
    <row r="45" spans="1:15" ht="18" x14ac:dyDescent="0.25">
      <c r="A45" s="99"/>
      <c r="B45" s="110" t="s">
        <v>235</v>
      </c>
      <c r="C45" s="75"/>
      <c r="D45" s="119">
        <f>D44</f>
        <v>4</v>
      </c>
      <c r="E45" s="75"/>
      <c r="F45" s="110" t="s">
        <v>236</v>
      </c>
      <c r="G45" s="75"/>
      <c r="H45" s="75"/>
      <c r="I45" s="75"/>
      <c r="J45" s="75"/>
      <c r="K45" s="75"/>
      <c r="L45" s="75"/>
      <c r="M45" s="75"/>
      <c r="N45" s="75"/>
      <c r="O45" s="75"/>
    </row>
    <row r="46" spans="1:15" ht="18" x14ac:dyDescent="0.3">
      <c r="A46" s="99"/>
      <c r="B46" s="110" t="s">
        <v>382</v>
      </c>
      <c r="C46" s="75"/>
      <c r="D46" s="111">
        <v>1</v>
      </c>
      <c r="E46" s="75"/>
      <c r="H46" s="110" t="s">
        <v>336</v>
      </c>
      <c r="I46" s="111">
        <v>3</v>
      </c>
      <c r="K46" s="193" t="s">
        <v>338</v>
      </c>
      <c r="L46" s="197">
        <v>0.05</v>
      </c>
      <c r="M46" s="75" t="s">
        <v>341</v>
      </c>
      <c r="N46" s="75"/>
      <c r="O46" s="75"/>
    </row>
    <row r="47" spans="1:15" ht="18" x14ac:dyDescent="0.3">
      <c r="A47" s="99"/>
      <c r="B47" s="75"/>
      <c r="C47" s="75"/>
      <c r="D47" s="75"/>
      <c r="E47" s="75"/>
      <c r="H47" s="110" t="s">
        <v>337</v>
      </c>
      <c r="I47" s="111">
        <v>3</v>
      </c>
      <c r="K47" s="193" t="s">
        <v>339</v>
      </c>
      <c r="L47" s="197">
        <v>0.05</v>
      </c>
      <c r="M47" s="75" t="s">
        <v>340</v>
      </c>
      <c r="N47" s="75"/>
      <c r="O47" s="75"/>
    </row>
    <row r="48" spans="1:15" x14ac:dyDescent="0.25">
      <c r="A48" s="75"/>
      <c r="B48" s="75"/>
      <c r="C48" s="75"/>
      <c r="D48" s="75"/>
      <c r="E48" s="75"/>
      <c r="F48" s="75"/>
      <c r="G48" s="75"/>
      <c r="H48" s="75"/>
      <c r="I48" s="75"/>
      <c r="J48" s="75"/>
      <c r="K48" s="75"/>
      <c r="L48" s="75"/>
      <c r="M48" s="75"/>
      <c r="N48" s="75"/>
      <c r="O48" s="75"/>
    </row>
    <row r="49" spans="1:15" ht="18" x14ac:dyDescent="0.25">
      <c r="A49" s="99" t="s">
        <v>212</v>
      </c>
      <c r="B49" s="75"/>
      <c r="C49" s="75"/>
      <c r="D49" s="75"/>
      <c r="E49" s="75"/>
      <c r="F49" s="75"/>
      <c r="G49" s="75"/>
      <c r="H49" s="75"/>
      <c r="I49" s="75"/>
      <c r="J49" s="75"/>
      <c r="K49" s="75"/>
      <c r="L49" s="75"/>
      <c r="M49" s="75"/>
      <c r="N49" s="75"/>
      <c r="O49" s="75"/>
    </row>
    <row r="50" spans="1:15" x14ac:dyDescent="0.25">
      <c r="A50" s="115"/>
      <c r="B50" s="110" t="s">
        <v>209</v>
      </c>
      <c r="C50" s="75"/>
      <c r="D50" s="75"/>
      <c r="E50" s="75"/>
      <c r="F50" s="75"/>
      <c r="G50" s="75"/>
      <c r="H50" s="75"/>
      <c r="I50" s="75"/>
      <c r="J50" s="75"/>
      <c r="K50" s="75"/>
      <c r="L50" s="75"/>
      <c r="M50" s="75"/>
      <c r="N50" s="75"/>
      <c r="O50" s="75"/>
    </row>
    <row r="51" spans="1:15" ht="36" customHeight="1" x14ac:dyDescent="0.25">
      <c r="A51" s="115"/>
      <c r="B51" s="245"/>
      <c r="C51" s="245"/>
      <c r="D51" s="245"/>
      <c r="E51" s="245"/>
      <c r="F51" s="245"/>
      <c r="G51" s="245"/>
      <c r="H51" s="245"/>
      <c r="I51" s="245"/>
      <c r="J51" s="245"/>
      <c r="K51" s="245"/>
      <c r="L51" s="245"/>
      <c r="M51" s="245"/>
      <c r="N51" s="245"/>
      <c r="O51" s="245"/>
    </row>
    <row r="52" spans="1:15" ht="18" x14ac:dyDescent="0.25">
      <c r="A52" s="99"/>
      <c r="B52" s="75"/>
      <c r="C52" s="75"/>
      <c r="D52" s="75"/>
      <c r="E52" s="75"/>
      <c r="F52" s="75"/>
      <c r="G52" s="75"/>
      <c r="H52" s="75"/>
      <c r="I52" s="75"/>
      <c r="J52" s="75"/>
      <c r="K52" s="75"/>
      <c r="L52" s="75"/>
      <c r="M52" s="75"/>
      <c r="N52" s="75"/>
      <c r="O52" s="75"/>
    </row>
    <row r="53" spans="1:15" ht="18" x14ac:dyDescent="0.25">
      <c r="A53" s="99"/>
      <c r="B53" s="110" t="s">
        <v>160</v>
      </c>
      <c r="C53" s="75"/>
      <c r="D53" s="75"/>
      <c r="E53" s="244" t="s">
        <v>208</v>
      </c>
      <c r="F53" s="244"/>
      <c r="G53" s="75"/>
      <c r="H53" s="75"/>
      <c r="I53" s="110" t="s">
        <v>89</v>
      </c>
      <c r="J53" s="116" t="str" cm="1">
        <f t="array" aca="1" ref="J53" ca="1">INDIRECT(FE_FMEA&amp;"!Eqpt_ID")</f>
        <v>FE01</v>
      </c>
      <c r="K53" s="75"/>
      <c r="L53" s="75"/>
      <c r="M53" s="75"/>
      <c r="N53" s="75"/>
      <c r="O53" s="75"/>
    </row>
    <row r="54" spans="1:15" ht="18" x14ac:dyDescent="0.25">
      <c r="A54" s="99"/>
      <c r="B54" s="110" t="s">
        <v>154</v>
      </c>
      <c r="C54" s="75"/>
      <c r="D54" s="75"/>
      <c r="E54" s="75"/>
      <c r="F54" s="75"/>
      <c r="G54" s="75"/>
      <c r="H54" s="75"/>
      <c r="I54" s="75"/>
      <c r="J54" s="75"/>
      <c r="K54" s="75"/>
      <c r="L54" s="75"/>
      <c r="M54" s="75"/>
      <c r="N54" s="75"/>
      <c r="O54" s="75"/>
    </row>
    <row r="55" spans="1:15" ht="18" x14ac:dyDescent="0.25">
      <c r="A55" s="99"/>
      <c r="B55" s="242" t="str" cm="1">
        <f t="array" aca="1" ref="B55" ca="1">INDIRECT(FE_FMEA&amp;"!Manufacturers_and_models")</f>
        <v xml:space="preserve">Generic data </v>
      </c>
      <c r="C55" s="242"/>
      <c r="D55" s="242"/>
      <c r="E55" s="242"/>
      <c r="F55" s="242"/>
      <c r="G55" s="242"/>
      <c r="H55" s="242"/>
      <c r="I55" s="242"/>
      <c r="J55" s="242"/>
      <c r="K55" s="242"/>
      <c r="L55" s="242"/>
      <c r="M55" s="242"/>
      <c r="N55" s="242"/>
      <c r="O55" s="242"/>
    </row>
    <row r="56" spans="1:15" ht="18" x14ac:dyDescent="0.25">
      <c r="A56" s="99"/>
      <c r="B56" s="110" t="s">
        <v>52</v>
      </c>
      <c r="C56" s="75"/>
      <c r="D56" s="75"/>
      <c r="E56" s="75"/>
      <c r="F56" s="75"/>
      <c r="G56" s="75"/>
      <c r="H56" s="75"/>
      <c r="I56" s="75"/>
      <c r="J56" s="75"/>
      <c r="K56" s="75"/>
      <c r="L56" s="75"/>
      <c r="M56" s="75"/>
      <c r="N56" s="75"/>
      <c r="O56" s="75"/>
    </row>
    <row r="57" spans="1:15" ht="18" x14ac:dyDescent="0.25">
      <c r="A57" s="99"/>
      <c r="B57" s="242" t="str" cm="1">
        <f t="array" aca="1" ref="B57" ca="1">INDIRECT(FE_FMEA&amp;"!references")</f>
        <v>Quote references sources here</v>
      </c>
      <c r="C57" s="242"/>
      <c r="D57" s="242"/>
      <c r="E57" s="242"/>
      <c r="F57" s="242"/>
      <c r="G57" s="242"/>
      <c r="H57" s="242"/>
      <c r="I57" s="242"/>
      <c r="J57" s="242"/>
      <c r="K57" s="242"/>
      <c r="L57" s="242"/>
      <c r="M57" s="242"/>
      <c r="N57" s="242"/>
      <c r="O57" s="242"/>
    </row>
    <row r="58" spans="1:15" ht="18" x14ac:dyDescent="0.25">
      <c r="A58" s="99"/>
      <c r="B58" s="110" t="s">
        <v>54</v>
      </c>
      <c r="C58" s="75"/>
      <c r="D58" s="75"/>
      <c r="E58" s="75"/>
      <c r="F58" s="246" t="s">
        <v>276</v>
      </c>
      <c r="G58" s="246"/>
      <c r="H58" s="75"/>
      <c r="I58" s="75"/>
      <c r="J58" s="75"/>
      <c r="K58" s="110" t="s">
        <v>292</v>
      </c>
      <c r="L58" s="75"/>
      <c r="M58" s="75"/>
      <c r="N58" s="75"/>
      <c r="O58" s="188">
        <v>0</v>
      </c>
    </row>
    <row r="59" spans="1:15" ht="18" x14ac:dyDescent="0.25">
      <c r="A59" s="99"/>
      <c r="B59" s="242" t="str" cm="1">
        <f t="array" aca="1" ref="B59" ca="1">INDIRECT(FE_FMEA&amp;"!Suitability")</f>
        <v>Refer to either a safety manual or to a prior use analysis report</v>
      </c>
      <c r="C59" s="242"/>
      <c r="D59" s="242"/>
      <c r="E59" s="242"/>
      <c r="F59" s="242"/>
      <c r="G59" s="242"/>
      <c r="H59" s="242"/>
      <c r="I59" s="242"/>
      <c r="J59" s="242"/>
      <c r="K59" s="242"/>
      <c r="L59" s="242"/>
      <c r="M59" s="242"/>
      <c r="N59" s="242"/>
      <c r="O59" s="242"/>
    </row>
    <row r="60" spans="1:15" ht="18.75" x14ac:dyDescent="0.25">
      <c r="A60" s="75"/>
      <c r="B60" s="117" t="s">
        <v>280</v>
      </c>
      <c r="C60" s="75"/>
      <c r="D60" s="75"/>
      <c r="E60" s="75"/>
      <c r="F60" s="75"/>
      <c r="G60" s="75"/>
      <c r="H60" s="75"/>
      <c r="I60" s="75"/>
      <c r="J60" s="75"/>
      <c r="K60" s="75"/>
      <c r="L60" s="75"/>
      <c r="M60" s="75"/>
      <c r="N60" s="75"/>
      <c r="O60" s="75"/>
    </row>
    <row r="61" spans="1:15" ht="18" x14ac:dyDescent="0.25">
      <c r="A61" s="99"/>
      <c r="B61" s="110" t="s">
        <v>231</v>
      </c>
      <c r="C61" s="75"/>
      <c r="D61" s="111">
        <v>4</v>
      </c>
      <c r="E61" s="83" t="s">
        <v>332</v>
      </c>
      <c r="F61" s="111">
        <v>7</v>
      </c>
      <c r="I61" s="55" t="s">
        <v>166</v>
      </c>
      <c r="J61" s="75"/>
      <c r="K61" s="118">
        <f>FE_N-FE_M</f>
        <v>3</v>
      </c>
      <c r="L61" s="75"/>
      <c r="M61" s="75"/>
      <c r="N61" s="75"/>
      <c r="O61" s="75"/>
    </row>
    <row r="62" spans="1:15" ht="18" x14ac:dyDescent="0.25">
      <c r="A62" s="99"/>
      <c r="B62" s="110" t="s">
        <v>230</v>
      </c>
      <c r="C62" s="75"/>
      <c r="D62" s="119" cm="1">
        <f t="array" aca="1" ref="D62" ca="1">INDEX(Route1H_Tables,K62,FE_HFT+2)</f>
        <v>4</v>
      </c>
      <c r="E62" s="75"/>
      <c r="F62" s="55" t="s">
        <v>233</v>
      </c>
      <c r="G62" s="75"/>
      <c r="H62" s="118" t="str" cm="1">
        <f t="array" aca="1" ref="H62" ca="1">INDIRECT(FE_FMEA&amp;"!HFTType")</f>
        <v>Type A</v>
      </c>
      <c r="I62" s="73" t="s">
        <v>125</v>
      </c>
      <c r="J62" s="120">
        <f ca="1">VLOOKUP(SelectedFEsystem,SubSysTable,23,FALSE)</f>
        <v>0.20689655172413796</v>
      </c>
      <c r="K62" s="121">
        <f ca="1">IF(H62="Type A",MATCH(J62,SFFRange,1),MATCH(J62,SFFRange,1)+10)</f>
        <v>1</v>
      </c>
      <c r="L62" s="75"/>
      <c r="M62" s="110" t="s">
        <v>261</v>
      </c>
      <c r="N62" s="75"/>
      <c r="O62" s="187" t="s">
        <v>265</v>
      </c>
    </row>
    <row r="63" spans="1:15" ht="18" x14ac:dyDescent="0.25">
      <c r="A63" s="99"/>
      <c r="B63" s="110" t="s">
        <v>232</v>
      </c>
      <c r="C63" s="75"/>
      <c r="D63" s="119">
        <f>VLOOKUP(K61,HFTtoSIL61511,2)</f>
        <v>4</v>
      </c>
      <c r="E63" s="75"/>
      <c r="F63" s="110" t="s">
        <v>234</v>
      </c>
      <c r="G63" s="75"/>
      <c r="H63" s="75"/>
      <c r="I63" s="75"/>
      <c r="J63" s="75"/>
      <c r="K63" s="75"/>
      <c r="L63" s="75"/>
      <c r="M63" s="75"/>
      <c r="N63" s="75"/>
      <c r="O63" s="119" cm="1">
        <f t="array" ref="O63">IF(FESuitability="Evidence not available",0,INDEX(D62:D64,VLOOKUP(O62,HFT_method_index,2,FALSE)))</f>
        <v>4</v>
      </c>
    </row>
    <row r="64" spans="1:15" ht="18" x14ac:dyDescent="0.25">
      <c r="A64" s="99"/>
      <c r="B64" s="110" t="s">
        <v>235</v>
      </c>
      <c r="C64" s="75"/>
      <c r="D64" s="119">
        <f>D63</f>
        <v>4</v>
      </c>
      <c r="E64" s="75"/>
      <c r="F64" s="110" t="s">
        <v>236</v>
      </c>
      <c r="G64" s="75"/>
      <c r="H64" s="75"/>
      <c r="I64" s="75"/>
      <c r="J64" s="75"/>
      <c r="K64" s="75"/>
      <c r="L64" s="75"/>
      <c r="M64" s="75"/>
      <c r="N64" s="75"/>
      <c r="O64" s="75"/>
    </row>
    <row r="65" spans="1:15" ht="18" x14ac:dyDescent="0.3">
      <c r="A65" s="99"/>
      <c r="B65" s="110" t="s">
        <v>382</v>
      </c>
      <c r="C65" s="75"/>
      <c r="D65" s="111">
        <v>1</v>
      </c>
      <c r="E65" s="75"/>
      <c r="H65" s="110" t="s">
        <v>336</v>
      </c>
      <c r="I65" s="111">
        <v>3</v>
      </c>
      <c r="K65" s="193" t="s">
        <v>338</v>
      </c>
      <c r="L65" s="197">
        <v>0.1</v>
      </c>
      <c r="M65" s="75" t="s">
        <v>341</v>
      </c>
      <c r="N65" s="75"/>
      <c r="O65" s="75"/>
    </row>
    <row r="66" spans="1:15" ht="18" x14ac:dyDescent="0.3">
      <c r="A66" s="99"/>
      <c r="B66" s="75"/>
      <c r="C66" s="75"/>
      <c r="D66" s="75"/>
      <c r="E66" s="75"/>
      <c r="H66" s="110" t="s">
        <v>337</v>
      </c>
      <c r="I66" s="111">
        <v>3</v>
      </c>
      <c r="K66" s="193" t="s">
        <v>339</v>
      </c>
      <c r="L66" s="197">
        <v>0.1</v>
      </c>
      <c r="M66" s="75" t="s">
        <v>340</v>
      </c>
      <c r="N66" s="75"/>
      <c r="O66" s="75"/>
    </row>
    <row r="67" spans="1:15" ht="18" x14ac:dyDescent="0.25">
      <c r="A67" s="99"/>
      <c r="B67" s="75"/>
      <c r="C67" s="75"/>
      <c r="D67" s="75"/>
      <c r="E67" s="75"/>
      <c r="F67" s="75"/>
      <c r="G67" s="75"/>
      <c r="H67" s="75"/>
      <c r="I67" s="75"/>
      <c r="J67" s="75"/>
      <c r="K67" s="75"/>
      <c r="L67" s="75"/>
      <c r="M67" s="75"/>
      <c r="N67" s="75"/>
      <c r="O67" s="75"/>
    </row>
    <row r="68" spans="1:15" ht="18" x14ac:dyDescent="0.25">
      <c r="A68" s="99"/>
      <c r="B68" s="75"/>
      <c r="C68" s="75"/>
      <c r="D68" s="75"/>
      <c r="E68" s="75"/>
      <c r="F68" s="75"/>
      <c r="G68" s="75"/>
      <c r="H68" s="75"/>
      <c r="I68" s="75"/>
      <c r="J68" s="75"/>
      <c r="K68" s="123"/>
      <c r="L68" s="75"/>
      <c r="M68" s="75"/>
      <c r="N68" s="75"/>
      <c r="O68" s="75"/>
    </row>
    <row r="69" spans="1:15" ht="21" x14ac:dyDescent="0.25">
      <c r="A69" s="109" t="s">
        <v>175</v>
      </c>
      <c r="B69" s="113"/>
      <c r="C69" s="113"/>
      <c r="D69" s="113"/>
      <c r="E69" s="247" t="str">
        <f>SF_ID</f>
        <v>SF 002</v>
      </c>
      <c r="F69" s="247"/>
      <c r="G69" s="113"/>
      <c r="H69" s="113"/>
      <c r="I69" s="114" t="s">
        <v>287</v>
      </c>
      <c r="J69" s="151">
        <f>SIL_target</f>
        <v>2</v>
      </c>
      <c r="K69" s="113"/>
      <c r="L69" s="109"/>
      <c r="M69" s="114" t="s">
        <v>366</v>
      </c>
      <c r="N69" s="216">
        <f>PFH_target</f>
        <v>9.9999999999999995E-7</v>
      </c>
      <c r="O69" s="210" t="s">
        <v>367</v>
      </c>
    </row>
    <row r="70" spans="1:15" ht="21" x14ac:dyDescent="0.25">
      <c r="A70" s="75"/>
      <c r="B70" s="75"/>
      <c r="C70" s="75"/>
      <c r="D70" s="75"/>
      <c r="E70" s="75"/>
      <c r="F70" s="75"/>
      <c r="G70" s="75"/>
      <c r="H70" s="75"/>
      <c r="I70" s="114" t="s">
        <v>370</v>
      </c>
      <c r="J70" s="151">
        <f ca="1">VLOOKUP(PFH,PFHtoSIL,2,TRUE)</f>
        <v>2</v>
      </c>
      <c r="K70" s="75"/>
      <c r="L70" s="75"/>
      <c r="M70" s="114" t="s">
        <v>369</v>
      </c>
      <c r="N70" s="216">
        <f ca="1">PFH</f>
        <v>8.9999999999999996E-7</v>
      </c>
      <c r="O70" s="210" t="s">
        <v>367</v>
      </c>
    </row>
    <row r="71" spans="1:15" ht="21" x14ac:dyDescent="0.25">
      <c r="B71" s="75"/>
      <c r="C71" s="75"/>
      <c r="D71" s="75"/>
      <c r="F71" s="75"/>
      <c r="G71" s="75"/>
      <c r="H71" s="75"/>
      <c r="I71" s="114" t="s">
        <v>344</v>
      </c>
      <c r="J71" s="151">
        <f ca="1">MIN(SensorSILlimit,SolverSILlimit,FESILlimit)</f>
        <v>2</v>
      </c>
      <c r="K71" s="114"/>
      <c r="L71" s="114"/>
      <c r="M71" s="114"/>
      <c r="N71" s="114"/>
      <c r="O71" s="114"/>
    </row>
    <row r="72" spans="1:15" ht="21" x14ac:dyDescent="0.25">
      <c r="A72" s="75"/>
      <c r="B72" s="75"/>
      <c r="C72" s="75"/>
      <c r="D72" s="75"/>
      <c r="E72" s="75"/>
      <c r="F72" s="75"/>
      <c r="G72" s="75"/>
      <c r="H72" s="75"/>
      <c r="I72" s="153"/>
      <c r="J72" s="114"/>
      <c r="K72" s="114"/>
      <c r="L72" s="114"/>
      <c r="M72" s="114"/>
      <c r="N72" s="114"/>
      <c r="O72" s="114"/>
    </row>
    <row r="73" spans="1:15" ht="20.25" x14ac:dyDescent="0.3">
      <c r="A73" s="163" t="s">
        <v>281</v>
      </c>
      <c r="L73" s="109" t="s">
        <v>419</v>
      </c>
    </row>
    <row r="74" spans="1:15" ht="21" x14ac:dyDescent="0.25">
      <c r="A74" s="110" t="s">
        <v>430</v>
      </c>
      <c r="L74" s="34"/>
    </row>
    <row r="75" spans="1:15" ht="15.75" thickBot="1" x14ac:dyDescent="0.3">
      <c r="C75" s="75"/>
      <c r="D75" s="75"/>
      <c r="E75" s="75"/>
      <c r="F75" s="75"/>
      <c r="G75" s="75"/>
      <c r="H75" s="75"/>
      <c r="I75" s="75"/>
      <c r="J75" s="75"/>
      <c r="K75" s="75"/>
      <c r="L75" s="75"/>
      <c r="M75" s="75"/>
      <c r="N75" s="75"/>
      <c r="O75" s="75"/>
    </row>
    <row r="76" spans="1:15" ht="19.5" thickBot="1" x14ac:dyDescent="0.3">
      <c r="C76" s="75"/>
      <c r="D76" s="168" t="str">
        <f ca="1">SelectedSensorSystem</f>
        <v>PZHH01</v>
      </c>
      <c r="E76" s="92"/>
      <c r="F76" s="168" t="str">
        <f ca="1">SelectedSolver</f>
        <v>Solver1</v>
      </c>
      <c r="G76" s="92"/>
      <c r="H76" s="168" t="str">
        <f ca="1">SelectedFEsystem</f>
        <v>FE01</v>
      </c>
      <c r="I76" s="75"/>
      <c r="J76" s="75"/>
      <c r="K76" s="75"/>
      <c r="L76" s="75"/>
      <c r="M76" s="75"/>
      <c r="N76" s="117"/>
      <c r="O76" s="75"/>
    </row>
    <row r="77" spans="1:15" ht="18.75" x14ac:dyDescent="0.25">
      <c r="C77" s="75"/>
      <c r="D77" s="166" t="str">
        <f>SensorM&amp;"oo"&amp;SensorN</f>
        <v>1oo1</v>
      </c>
      <c r="E77" s="92"/>
      <c r="F77" s="166" t="str">
        <f>SolverM&amp;"oo"&amp;SolverN</f>
        <v>1oo3</v>
      </c>
      <c r="G77" s="92"/>
      <c r="H77" s="166" t="str">
        <f>FE_M&amp;"oo"&amp;FE_N</f>
        <v>4oo7</v>
      </c>
      <c r="I77" s="75"/>
      <c r="J77" s="75"/>
      <c r="K77" s="75"/>
      <c r="L77" s="156"/>
      <c r="M77" s="75"/>
      <c r="N77" s="117"/>
      <c r="O77" s="75"/>
    </row>
    <row r="78" spans="1:15" ht="18.75" x14ac:dyDescent="0.25">
      <c r="C78" s="75"/>
      <c r="D78" s="166"/>
      <c r="E78" s="92"/>
      <c r="F78" s="166"/>
      <c r="G78" s="92"/>
      <c r="H78" s="166"/>
      <c r="I78" s="75"/>
      <c r="J78" s="75"/>
      <c r="K78" s="75"/>
      <c r="L78" s="156"/>
      <c r="M78" s="75"/>
      <c r="N78" s="117"/>
      <c r="O78" s="75"/>
    </row>
    <row r="79" spans="1:15" ht="18.75" x14ac:dyDescent="0.3">
      <c r="A79" s="155" t="s">
        <v>372</v>
      </c>
      <c r="C79" s="75"/>
      <c r="D79" s="172">
        <f ca="1">VLOOKUP(D76,SubSysTable,2,FALSE)</f>
        <v>3.9000000000000002E-7</v>
      </c>
      <c r="E79" s="173"/>
      <c r="F79" s="172">
        <f ca="1">VLOOKUP(F76,SubSysTable,2,FALSE)</f>
        <v>1.3000000000000001E-9</v>
      </c>
      <c r="G79" s="173"/>
      <c r="H79" s="172">
        <f ca="1">VLOOKUP(H76,SubSysTable,2,FALSE)</f>
        <v>4.5999999999999999E-7</v>
      </c>
      <c r="I79" s="167"/>
      <c r="J79" s="75"/>
      <c r="K79" s="75"/>
      <c r="L79" s="164" t="s">
        <v>383</v>
      </c>
      <c r="M79" s="152"/>
      <c r="N79" s="171">
        <f ca="1">ROUND(SUM(SubSystemPFHs),D90-1-INT(LOG10(SUM(SubSystemPFHs))))</f>
        <v>8.9999999999999996E-7</v>
      </c>
      <c r="O79" s="156" t="s">
        <v>367</v>
      </c>
    </row>
    <row r="80" spans="1:15" ht="18.75" x14ac:dyDescent="0.25">
      <c r="A80" s="152"/>
      <c r="C80" s="75"/>
      <c r="D80" s="174"/>
      <c r="E80" s="174"/>
      <c r="F80" s="174"/>
      <c r="G80" s="174"/>
      <c r="H80" s="174"/>
      <c r="I80" s="167"/>
      <c r="J80" s="75"/>
      <c r="K80" s="75"/>
      <c r="L80" s="154"/>
      <c r="M80" s="152"/>
      <c r="N80" s="3"/>
      <c r="O80" s="75"/>
    </row>
    <row r="81" spans="1:15" ht="18.75" x14ac:dyDescent="0.25">
      <c r="A81" s="157" t="s">
        <v>282</v>
      </c>
      <c r="C81" s="75"/>
      <c r="D81" s="172">
        <f ca="1">VLOOKUP(D76,SubSysTable,39,FALSE)</f>
        <v>4.0296000000000004E-3</v>
      </c>
      <c r="E81" s="173"/>
      <c r="F81" s="172">
        <f ca="1">VLOOKUP(F76,SubSysTable,39,FALSE)</f>
        <v>1.3140000000000001E-3</v>
      </c>
      <c r="G81" s="173"/>
      <c r="H81" s="172">
        <f ca="1">VLOOKUP(H76,SubSysTable,39,FALSE)</f>
        <v>8.059200001229738E-4</v>
      </c>
      <c r="I81" s="167"/>
      <c r="J81" s="75"/>
      <c r="K81" s="75"/>
      <c r="L81" s="156" t="s">
        <v>285</v>
      </c>
      <c r="M81" s="152"/>
      <c r="N81" s="230">
        <f ca="1">ROUND(SUM(SubsystemsSTR),D90-1-INT(LOG10(SUM(SubsystemsSTR))))</f>
        <v>6.0000000000000001E-3</v>
      </c>
      <c r="O81" s="156" t="s">
        <v>59</v>
      </c>
    </row>
    <row r="82" spans="1:15" ht="18.75" x14ac:dyDescent="0.25">
      <c r="D82" s="223"/>
      <c r="E82" s="160"/>
      <c r="F82" s="223"/>
      <c r="G82" s="160"/>
      <c r="H82" s="223"/>
      <c r="I82" s="161"/>
      <c r="J82" s="75"/>
      <c r="K82" s="75"/>
      <c r="L82" s="154"/>
      <c r="M82" s="75"/>
      <c r="N82" s="64"/>
      <c r="O82" s="75"/>
    </row>
    <row r="83" spans="1:15" s="75" customFormat="1" ht="47.25" x14ac:dyDescent="0.25">
      <c r="A83" s="159" t="s">
        <v>290</v>
      </c>
      <c r="D83" s="202" t="str">
        <f>SensorSuitability</f>
        <v>IEC 61508 safety manual</v>
      </c>
      <c r="E83" s="160"/>
      <c r="F83" s="202" t="str">
        <f>SolverSuitability</f>
        <v>IEC 61508 safety manual</v>
      </c>
      <c r="G83" s="160"/>
      <c r="H83" s="202" t="str">
        <f>FESuitability</f>
        <v>Other safety manual</v>
      </c>
      <c r="I83" s="161"/>
      <c r="L83" s="154"/>
      <c r="N83" s="64"/>
    </row>
    <row r="84" spans="1:15" ht="18.75" x14ac:dyDescent="0.25">
      <c r="D84" s="101"/>
      <c r="E84" s="167"/>
      <c r="F84" s="160"/>
      <c r="G84" s="167"/>
      <c r="H84" s="160"/>
      <c r="I84" s="161"/>
      <c r="J84" s="75"/>
      <c r="K84" s="75"/>
      <c r="L84" s="154"/>
      <c r="M84" s="75"/>
      <c r="N84" s="64"/>
      <c r="O84" s="75"/>
    </row>
    <row r="85" spans="1:15" ht="15.75" x14ac:dyDescent="0.25">
      <c r="A85" s="159" t="s">
        <v>267</v>
      </c>
      <c r="B85" s="75"/>
      <c r="C85" s="75"/>
      <c r="D85" s="162">
        <f>IF(SensorSuitability="Evidence not available","Need evidence",SensorSILlimit)</f>
        <v>2</v>
      </c>
      <c r="E85" s="167"/>
      <c r="F85" s="162">
        <f ca="1">IF(SolverSuitability="Evidence not available","Need evidence",SolverSILlimit)</f>
        <v>4</v>
      </c>
      <c r="G85" s="167"/>
      <c r="H85" s="162">
        <f>IF(FESuitability="Evidence not available","Need evidence",FESILlimit)</f>
        <v>4</v>
      </c>
      <c r="I85" s="167"/>
      <c r="J85" s="75"/>
      <c r="K85" s="75"/>
      <c r="L85" s="75"/>
      <c r="M85" s="75"/>
      <c r="N85" s="64"/>
      <c r="O85" s="75"/>
    </row>
    <row r="86" spans="1:15" ht="15.75" x14ac:dyDescent="0.25">
      <c r="A86" s="159"/>
      <c r="B86" s="75"/>
      <c r="C86" s="75"/>
      <c r="D86" s="167"/>
      <c r="E86" s="167"/>
      <c r="F86" s="167"/>
      <c r="G86" s="167"/>
      <c r="H86" s="167"/>
      <c r="I86" s="167"/>
      <c r="J86" s="75"/>
      <c r="K86" s="75"/>
      <c r="L86" s="75"/>
      <c r="M86" s="75"/>
      <c r="N86" s="75"/>
      <c r="O86" s="75"/>
    </row>
    <row r="87" spans="1:15" ht="15.75" x14ac:dyDescent="0.25">
      <c r="A87" s="159" t="s">
        <v>294</v>
      </c>
      <c r="B87" s="75"/>
      <c r="C87" s="75"/>
      <c r="D87" s="176">
        <f>IF(SensorSuitability="Evidence not available","Need evidence",SensorSC)</f>
        <v>1</v>
      </c>
      <c r="E87" s="167"/>
      <c r="F87" s="176">
        <f>IF(SolverSuitability="Evidence not available","Need evidence",SolverSC)</f>
        <v>3</v>
      </c>
      <c r="G87" s="167"/>
      <c r="H87" s="176">
        <f>IF(FESuitability="Evidence not available","Need evidence",FESC)</f>
        <v>0</v>
      </c>
      <c r="I87" s="167"/>
      <c r="J87" s="75"/>
      <c r="K87" s="75"/>
      <c r="L87" s="75"/>
      <c r="M87" s="75"/>
      <c r="N87" s="75"/>
      <c r="O87" s="75"/>
    </row>
    <row r="88" spans="1:15" ht="18.75" x14ac:dyDescent="0.25">
      <c r="D88" s="101"/>
      <c r="E88" s="160"/>
      <c r="F88" s="149"/>
      <c r="G88" s="149"/>
      <c r="H88" s="149"/>
      <c r="I88" s="148"/>
      <c r="J88" s="75"/>
      <c r="K88" s="75"/>
      <c r="L88" s="75"/>
      <c r="M88" s="75"/>
      <c r="N88" s="75"/>
      <c r="O88" s="75"/>
    </row>
    <row r="89" spans="1:15" ht="15.75" x14ac:dyDescent="0.25">
      <c r="A89" s="159" t="s">
        <v>217</v>
      </c>
      <c r="B89" s="75"/>
      <c r="C89" s="75"/>
      <c r="D89" s="189">
        <v>1</v>
      </c>
      <c r="E89" s="159" t="s">
        <v>270</v>
      </c>
      <c r="F89" s="75"/>
      <c r="G89" s="75"/>
      <c r="H89" s="75"/>
      <c r="I89" s="75"/>
      <c r="J89" s="75"/>
      <c r="K89" s="75"/>
      <c r="L89" s="75"/>
      <c r="M89" s="224" t="s">
        <v>180</v>
      </c>
      <c r="N89" s="75" t="s">
        <v>423</v>
      </c>
      <c r="O89" s="75"/>
    </row>
    <row r="90" spans="1:15" ht="15.75" x14ac:dyDescent="0.25">
      <c r="A90" s="158" t="s">
        <v>289</v>
      </c>
      <c r="B90" s="101"/>
      <c r="D90" s="190">
        <v>1</v>
      </c>
      <c r="E90" s="158" t="s">
        <v>36</v>
      </c>
      <c r="J90" s="158"/>
      <c r="K90" s="101"/>
      <c r="M90" s="224" t="s">
        <v>286</v>
      </c>
      <c r="N90" s="75" t="s">
        <v>423</v>
      </c>
    </row>
    <row r="91" spans="1:15" ht="15.75" x14ac:dyDescent="0.25">
      <c r="A91" s="159"/>
      <c r="B91" s="75"/>
      <c r="C91" s="75"/>
      <c r="D91" s="159"/>
      <c r="E91" s="159"/>
      <c r="F91" s="75"/>
      <c r="G91" s="75"/>
      <c r="H91" s="75"/>
      <c r="I91" s="75"/>
      <c r="J91" s="75"/>
      <c r="K91" s="75"/>
      <c r="L91" s="75"/>
      <c r="M91" s="75"/>
      <c r="N91" s="75"/>
      <c r="O91" s="75"/>
    </row>
    <row r="92" spans="1:15" x14ac:dyDescent="0.25">
      <c r="I92" s="75"/>
      <c r="J92" s="75"/>
      <c r="K92" s="75"/>
      <c r="L92" s="75"/>
      <c r="M92" s="75"/>
      <c r="N92" s="75"/>
      <c r="O92" s="75"/>
    </row>
    <row r="93" spans="1:15" x14ac:dyDescent="0.25">
      <c r="I93" s="75"/>
      <c r="J93" s="75"/>
      <c r="K93" s="75"/>
      <c r="L93" s="75"/>
      <c r="M93" s="75"/>
      <c r="N93" s="75"/>
      <c r="O93" s="75"/>
    </row>
    <row r="94" spans="1:15" x14ac:dyDescent="0.25">
      <c r="I94" s="75"/>
      <c r="J94" s="75"/>
      <c r="K94" s="75"/>
      <c r="L94" s="75"/>
      <c r="M94" s="75"/>
      <c r="N94" s="75"/>
      <c r="O94" s="75"/>
    </row>
    <row r="95" spans="1:15" ht="32.25" x14ac:dyDescent="0.25">
      <c r="A95" s="122"/>
      <c r="B95" s="75"/>
      <c r="C95" s="75"/>
      <c r="D95" s="13" t="s">
        <v>381</v>
      </c>
      <c r="E95" s="75"/>
      <c r="F95" s="13" t="s">
        <v>20</v>
      </c>
      <c r="I95" s="75"/>
      <c r="J95" s="75"/>
      <c r="K95" s="75"/>
      <c r="L95" s="75"/>
      <c r="M95" s="75"/>
      <c r="N95" s="75"/>
      <c r="O95" s="75"/>
    </row>
    <row r="96" spans="1:15" ht="15.75" x14ac:dyDescent="0.25">
      <c r="A96" s="165" t="s">
        <v>218</v>
      </c>
      <c r="B96" s="75"/>
      <c r="C96" s="75"/>
      <c r="D96" s="213">
        <f ca="1">ROUND(PFH/UncertaintyFactor,D90-1-INT(LOG10(PFH/UncertaintyFactor)))</f>
        <v>2.9999999999999999E-7</v>
      </c>
      <c r="E96" s="75"/>
      <c r="F96" s="169">
        <f ca="1">ROUND(MTTFS/UncertaintyFactor,D90-1-INT(LOG10(MTTFS/UncertaintyFactor)))</f>
        <v>60</v>
      </c>
      <c r="G96" s="75"/>
      <c r="H96" s="64"/>
      <c r="I96" s="64"/>
      <c r="J96" s="75"/>
      <c r="K96" s="75"/>
      <c r="L96" s="75"/>
      <c r="M96" s="75"/>
      <c r="N96" s="75"/>
      <c r="O96" s="75"/>
    </row>
    <row r="97" spans="1:15" ht="18.75" x14ac:dyDescent="0.25">
      <c r="A97" s="165" t="s">
        <v>288</v>
      </c>
      <c r="B97" s="75"/>
      <c r="C97" s="75"/>
      <c r="D97" s="214">
        <f ca="1">ROUND(SUM(SubSystemPFHs),D90-1-INT(LOG10(SUM(SubSystemPFHs))))</f>
        <v>8.9999999999999996E-7</v>
      </c>
      <c r="E97" s="75"/>
      <c r="F97" s="170">
        <f ca="1">ROUND(1/SUM(SubsystemsSTR),D90-1-INT(LOG10(1/SUM(SubsystemsSTR))))</f>
        <v>200</v>
      </c>
      <c r="G97" s="75"/>
      <c r="H97" s="75"/>
      <c r="I97" s="75"/>
      <c r="J97" s="75"/>
      <c r="K97" s="75"/>
      <c r="L97" s="75"/>
      <c r="M97" s="75"/>
      <c r="N97" s="75"/>
      <c r="O97" s="75"/>
    </row>
    <row r="98" spans="1:15" ht="15.75" x14ac:dyDescent="0.25">
      <c r="A98" s="165" t="s">
        <v>219</v>
      </c>
      <c r="B98" s="75"/>
      <c r="C98" s="75"/>
      <c r="D98" s="213">
        <f ca="1">ROUND(UncertaintyFactor*PFH,D90-1-INT(LOG10(UncertaintyFactor*PFH)))</f>
        <v>3.0000000000000001E-6</v>
      </c>
      <c r="E98" s="75"/>
      <c r="F98" s="169">
        <f ca="1">ROUND(UncertaintyFactor*MTTFS,D90-1-INT(LOG10(UncertaintyFactor*MTTFS)))</f>
        <v>600</v>
      </c>
      <c r="I98" s="125" t="s">
        <v>228</v>
      </c>
      <c r="J98" s="124"/>
      <c r="K98" s="124"/>
      <c r="L98" s="126" t="s">
        <v>343</v>
      </c>
      <c r="M98" s="209">
        <f>SQRT(10^UncertaintyOrder)</f>
        <v>3.1622776601683795</v>
      </c>
      <c r="N98" s="124"/>
      <c r="O98" s="75"/>
    </row>
    <row r="99" spans="1:15" x14ac:dyDescent="0.25">
      <c r="A99" s="75"/>
      <c r="B99" s="75"/>
      <c r="C99" s="75"/>
      <c r="D99" s="75"/>
      <c r="I99" s="126" t="s">
        <v>222</v>
      </c>
      <c r="J99" s="126" t="s">
        <v>227</v>
      </c>
      <c r="K99" s="126" t="s">
        <v>223</v>
      </c>
      <c r="L99" s="124"/>
      <c r="M99" s="127" t="s">
        <v>379</v>
      </c>
      <c r="N99" s="127" t="s">
        <v>380</v>
      </c>
      <c r="O99" s="75"/>
    </row>
    <row r="100" spans="1:15" x14ac:dyDescent="0.25">
      <c r="A100" s="75"/>
      <c r="B100" s="75"/>
      <c r="C100" s="75"/>
      <c r="D100" s="75"/>
      <c r="I100" s="128">
        <f ca="1">D96</f>
        <v>2.9999999999999999E-7</v>
      </c>
      <c r="J100" s="124">
        <f ca="1">PFH</f>
        <v>8.9999999999999996E-7</v>
      </c>
      <c r="K100" s="128">
        <f ca="1">D98</f>
        <v>3.0000000000000001E-6</v>
      </c>
      <c r="L100" s="124"/>
      <c r="M100" s="124">
        <f>PFH_target</f>
        <v>9.9999999999999995E-7</v>
      </c>
      <c r="N100" s="124">
        <f ca="1">J100</f>
        <v>8.9999999999999996E-7</v>
      </c>
    </row>
    <row r="101" spans="1:15" x14ac:dyDescent="0.25">
      <c r="A101" s="75"/>
      <c r="B101" s="75"/>
      <c r="C101" s="75"/>
      <c r="D101" s="75"/>
      <c r="I101" s="124">
        <f ca="1">I100</f>
        <v>2.9999999999999999E-7</v>
      </c>
      <c r="J101" s="124">
        <f ca="1">J100</f>
        <v>8.9999999999999996E-7</v>
      </c>
      <c r="K101" s="124">
        <f ca="1">K100</f>
        <v>3.0000000000000001E-6</v>
      </c>
      <c r="L101" s="124"/>
      <c r="M101" s="124">
        <f>PFH_target</f>
        <v>9.9999999999999995E-7</v>
      </c>
      <c r="N101" s="124">
        <f ca="1">J101</f>
        <v>8.9999999999999996E-7</v>
      </c>
    </row>
    <row r="102" spans="1:15" x14ac:dyDescent="0.25">
      <c r="A102" s="75"/>
      <c r="B102" s="75"/>
      <c r="C102" s="75"/>
      <c r="D102" s="75"/>
      <c r="E102" s="75"/>
      <c r="F102" s="75"/>
      <c r="G102" s="75" t="s">
        <v>402</v>
      </c>
      <c r="H102" s="222">
        <f ca="1">D79/N79</f>
        <v>0.4333333333333334</v>
      </c>
      <c r="I102" s="75"/>
      <c r="J102" s="75"/>
      <c r="K102" s="75"/>
      <c r="L102" s="75"/>
      <c r="M102" s="75"/>
      <c r="N102" s="75"/>
      <c r="O102" s="75"/>
    </row>
    <row r="103" spans="1:15" x14ac:dyDescent="0.25">
      <c r="A103" s="75"/>
      <c r="B103" s="75"/>
      <c r="C103" s="75"/>
      <c r="D103" s="75"/>
      <c r="E103" s="75"/>
      <c r="F103" s="75"/>
      <c r="G103" s="75" t="s">
        <v>403</v>
      </c>
      <c r="H103" s="222">
        <f ca="1">F79/N79</f>
        <v>1.4444444444444446E-3</v>
      </c>
      <c r="I103" s="75"/>
      <c r="J103" s="75"/>
      <c r="K103" s="75"/>
      <c r="L103" s="75"/>
      <c r="M103" s="75"/>
      <c r="N103" s="75"/>
      <c r="O103" s="75"/>
    </row>
    <row r="104" spans="1:15" x14ac:dyDescent="0.25">
      <c r="A104" s="75"/>
      <c r="B104" s="75"/>
      <c r="C104" s="75"/>
      <c r="D104" s="75"/>
      <c r="E104" s="75"/>
      <c r="F104" s="75"/>
      <c r="G104" s="75" t="s">
        <v>404</v>
      </c>
      <c r="H104" s="222">
        <f ca="1">H79/N79</f>
        <v>0.51111111111111107</v>
      </c>
      <c r="I104" s="75"/>
      <c r="J104" s="75"/>
      <c r="K104" s="75"/>
      <c r="L104" s="75"/>
      <c r="M104" s="75"/>
      <c r="N104" s="75"/>
      <c r="O104" s="75"/>
    </row>
    <row r="105" spans="1:15" x14ac:dyDescent="0.25">
      <c r="A105" s="75"/>
      <c r="B105" s="75"/>
      <c r="C105" s="75"/>
      <c r="D105" s="75"/>
      <c r="E105" s="75"/>
      <c r="F105" s="75"/>
      <c r="G105" s="75"/>
      <c r="H105" s="75"/>
      <c r="I105" s="75"/>
      <c r="J105" s="75"/>
      <c r="K105" s="75"/>
      <c r="L105" s="75"/>
      <c r="M105" s="75"/>
      <c r="N105" s="75"/>
      <c r="O105" s="75"/>
    </row>
    <row r="106" spans="1:15" x14ac:dyDescent="0.25">
      <c r="A106" s="75"/>
      <c r="B106" s="75"/>
      <c r="C106" s="75"/>
      <c r="D106" s="75"/>
      <c r="E106" s="75"/>
      <c r="F106" s="75"/>
      <c r="G106" s="75"/>
      <c r="H106" s="75"/>
      <c r="I106" s="75"/>
      <c r="J106" s="75"/>
      <c r="K106" s="75"/>
      <c r="L106" s="75"/>
      <c r="M106" s="75"/>
      <c r="N106" s="75"/>
      <c r="O106" s="75"/>
    </row>
    <row r="107" spans="1:15" x14ac:dyDescent="0.25">
      <c r="A107" s="75"/>
      <c r="B107" s="75"/>
      <c r="C107" s="75"/>
      <c r="D107" s="75"/>
      <c r="E107" s="75"/>
      <c r="F107" s="75"/>
      <c r="G107" s="75"/>
      <c r="H107" s="75"/>
      <c r="I107" s="75"/>
      <c r="J107" s="75"/>
      <c r="K107" s="75"/>
      <c r="L107" s="75"/>
      <c r="M107" s="75"/>
      <c r="N107" s="75"/>
      <c r="O107" s="75"/>
    </row>
    <row r="108" spans="1:15" x14ac:dyDescent="0.25">
      <c r="A108" s="75"/>
      <c r="B108" s="75"/>
      <c r="C108" s="75"/>
      <c r="D108" s="75"/>
      <c r="E108" s="75"/>
      <c r="F108" s="75"/>
      <c r="G108" s="75"/>
      <c r="H108" s="75"/>
      <c r="I108" s="75"/>
      <c r="J108" s="75"/>
      <c r="K108" s="75"/>
      <c r="L108" s="75"/>
      <c r="M108" s="75"/>
      <c r="N108" s="75"/>
      <c r="O108" s="75"/>
    </row>
    <row r="109" spans="1:15" x14ac:dyDescent="0.25">
      <c r="A109" s="75"/>
      <c r="B109" s="75"/>
      <c r="C109" s="75"/>
      <c r="D109" s="75"/>
      <c r="E109" s="75"/>
      <c r="F109" s="75"/>
      <c r="G109" s="75"/>
      <c r="H109" s="75"/>
      <c r="I109" s="75"/>
      <c r="J109" s="75"/>
      <c r="K109" s="75"/>
      <c r="L109" s="75"/>
      <c r="M109" s="75"/>
      <c r="N109" s="75"/>
      <c r="O109" s="75"/>
    </row>
    <row r="110" spans="1:15" x14ac:dyDescent="0.25">
      <c r="A110" s="75"/>
      <c r="B110" s="75"/>
      <c r="C110" s="75"/>
      <c r="D110" s="75"/>
      <c r="E110" s="75"/>
      <c r="F110" s="75"/>
      <c r="G110" s="75"/>
      <c r="H110" s="75"/>
      <c r="I110" s="75"/>
      <c r="J110" s="75"/>
      <c r="K110" s="75"/>
      <c r="L110" s="75"/>
      <c r="M110" s="75"/>
      <c r="N110" s="75"/>
      <c r="O110" s="75"/>
    </row>
    <row r="111" spans="1:15" x14ac:dyDescent="0.25">
      <c r="A111" s="75"/>
      <c r="B111" s="75"/>
      <c r="C111" s="75"/>
      <c r="D111" s="75"/>
      <c r="E111" s="75"/>
      <c r="F111" s="75"/>
      <c r="G111" s="75"/>
      <c r="H111" s="75"/>
      <c r="I111" s="75"/>
      <c r="J111" s="75"/>
      <c r="K111" s="75"/>
      <c r="L111" s="75"/>
      <c r="M111" s="75"/>
      <c r="N111" s="75"/>
      <c r="O111" s="75"/>
    </row>
    <row r="112" spans="1:15" ht="18.75" x14ac:dyDescent="0.25">
      <c r="E112" s="149"/>
      <c r="F112" s="149"/>
      <c r="G112" s="149"/>
      <c r="H112" s="149"/>
      <c r="I112" s="148"/>
      <c r="J112" s="75"/>
      <c r="K112" s="75"/>
      <c r="L112" s="75"/>
      <c r="M112" s="75"/>
      <c r="N112" s="75"/>
      <c r="O112" s="75"/>
    </row>
    <row r="113" spans="1:40" x14ac:dyDescent="0.25">
      <c r="N113" s="75"/>
      <c r="O113" s="75"/>
    </row>
    <row r="114" spans="1:40" x14ac:dyDescent="0.25">
      <c r="N114" s="75"/>
      <c r="O114" s="75"/>
    </row>
    <row r="115" spans="1:40" x14ac:dyDescent="0.25">
      <c r="N115" s="75"/>
      <c r="O115" s="75"/>
    </row>
    <row r="116" spans="1:40" x14ac:dyDescent="0.25">
      <c r="N116" s="75"/>
      <c r="O116" s="75"/>
    </row>
    <row r="117" spans="1:40" x14ac:dyDescent="0.25">
      <c r="N117" s="75"/>
      <c r="O117" s="75"/>
    </row>
    <row r="118" spans="1:40" ht="69" customHeight="1" x14ac:dyDescent="0.25">
      <c r="B118" s="34"/>
    </row>
    <row r="119" spans="1:40" x14ac:dyDescent="0.25">
      <c r="A119" s="8"/>
    </row>
    <row r="120" spans="1:40" ht="21" x14ac:dyDescent="0.25">
      <c r="A120" s="34" t="s">
        <v>371</v>
      </c>
    </row>
    <row r="121" spans="1:40" x14ac:dyDescent="0.25">
      <c r="A121" s="14"/>
      <c r="AI121" s="14" t="s">
        <v>429</v>
      </c>
    </row>
    <row r="122" spans="1:40" x14ac:dyDescent="0.25">
      <c r="A122" s="14"/>
      <c r="E122" s="14"/>
      <c r="L122" s="14"/>
    </row>
    <row r="123" spans="1:40" x14ac:dyDescent="0.25">
      <c r="A123" s="100" t="s">
        <v>214</v>
      </c>
      <c r="B123" s="26">
        <v>2</v>
      </c>
      <c r="C123" t="s">
        <v>36</v>
      </c>
      <c r="O123" s="10"/>
    </row>
    <row r="124" spans="1:40" x14ac:dyDescent="0.25">
      <c r="O124" s="7"/>
    </row>
    <row r="125" spans="1:40" x14ac:dyDescent="0.25">
      <c r="A125" s="94">
        <v>1</v>
      </c>
      <c r="B125" s="94">
        <v>2</v>
      </c>
      <c r="C125" s="94">
        <v>3</v>
      </c>
      <c r="D125" s="94">
        <v>4</v>
      </c>
      <c r="E125" s="94">
        <v>5</v>
      </c>
      <c r="F125" s="94">
        <v>6</v>
      </c>
      <c r="G125" s="94">
        <v>7</v>
      </c>
      <c r="H125" s="94">
        <v>8</v>
      </c>
      <c r="I125" s="94">
        <v>9</v>
      </c>
      <c r="J125" s="94">
        <v>10</v>
      </c>
      <c r="K125" s="94">
        <v>11</v>
      </c>
      <c r="L125" s="94">
        <v>12</v>
      </c>
      <c r="M125" s="94">
        <v>13</v>
      </c>
      <c r="N125" s="94">
        <v>14</v>
      </c>
      <c r="O125" s="94">
        <v>15</v>
      </c>
      <c r="P125" s="94">
        <v>16</v>
      </c>
      <c r="Q125" s="94">
        <v>17</v>
      </c>
      <c r="R125" s="94">
        <v>18</v>
      </c>
      <c r="S125" s="94">
        <v>19</v>
      </c>
      <c r="T125" s="94">
        <v>20</v>
      </c>
      <c r="U125" s="94">
        <v>21</v>
      </c>
      <c r="V125" s="94">
        <v>22</v>
      </c>
      <c r="W125" s="94">
        <v>23</v>
      </c>
      <c r="X125" s="94">
        <v>24</v>
      </c>
      <c r="Y125" s="94">
        <v>25</v>
      </c>
      <c r="Z125" s="94">
        <v>26</v>
      </c>
      <c r="AA125" s="94">
        <v>27</v>
      </c>
      <c r="AB125" s="94">
        <v>28</v>
      </c>
      <c r="AC125" s="94">
        <v>29</v>
      </c>
      <c r="AD125" s="94">
        <v>30</v>
      </c>
      <c r="AE125" s="94">
        <v>31</v>
      </c>
      <c r="AF125" s="94">
        <v>32</v>
      </c>
      <c r="AG125" s="94">
        <v>33</v>
      </c>
      <c r="AH125" s="94">
        <v>34</v>
      </c>
      <c r="AI125" s="94">
        <v>35</v>
      </c>
      <c r="AJ125" s="94">
        <v>36</v>
      </c>
      <c r="AK125" s="94">
        <v>37</v>
      </c>
      <c r="AL125" s="94">
        <v>38</v>
      </c>
      <c r="AM125" s="94">
        <v>39</v>
      </c>
    </row>
    <row r="126" spans="1:40" x14ac:dyDescent="0.25">
      <c r="C126" s="3"/>
      <c r="G126" s="14"/>
      <c r="H126" s="84"/>
      <c r="I126" s="84"/>
      <c r="N126" s="14" t="s">
        <v>37</v>
      </c>
      <c r="P126" s="14" t="s">
        <v>38</v>
      </c>
      <c r="T126" s="55"/>
    </row>
    <row r="127" spans="1:40" ht="48.75" customHeight="1" x14ac:dyDescent="0.3">
      <c r="A127" s="41" t="s">
        <v>55</v>
      </c>
      <c r="B127" s="12" t="s">
        <v>372</v>
      </c>
      <c r="C127" s="13" t="s">
        <v>20</v>
      </c>
      <c r="D127" s="41" t="s">
        <v>127</v>
      </c>
      <c r="E127" s="16" t="s">
        <v>3</v>
      </c>
      <c r="F127" s="16" t="s">
        <v>4</v>
      </c>
      <c r="G127" s="16" t="s">
        <v>6</v>
      </c>
      <c r="H127" s="27" t="s">
        <v>143</v>
      </c>
      <c r="I127" s="27"/>
      <c r="J127" s="27" t="s">
        <v>139</v>
      </c>
      <c r="K127" s="27" t="s">
        <v>141</v>
      </c>
      <c r="L127" s="27" t="s">
        <v>377</v>
      </c>
      <c r="M127" s="27" t="s">
        <v>378</v>
      </c>
      <c r="N127" s="2" t="s">
        <v>1</v>
      </c>
      <c r="O127" s="2" t="s">
        <v>2</v>
      </c>
      <c r="P127" s="28" t="s">
        <v>39</v>
      </c>
      <c r="Q127" s="28" t="s">
        <v>40</v>
      </c>
      <c r="R127" s="27" t="s">
        <v>136</v>
      </c>
      <c r="S127" s="27" t="s">
        <v>374</v>
      </c>
      <c r="T127" s="27" t="s">
        <v>138</v>
      </c>
      <c r="U127" s="27" t="s">
        <v>375</v>
      </c>
      <c r="V127" s="2" t="s">
        <v>34</v>
      </c>
      <c r="W127" s="2" t="s">
        <v>125</v>
      </c>
      <c r="X127" s="27"/>
      <c r="Y127" s="27" t="s">
        <v>376</v>
      </c>
      <c r="Z127" s="2"/>
      <c r="AA127" s="27" t="s">
        <v>191</v>
      </c>
      <c r="AB127" s="27" t="s">
        <v>385</v>
      </c>
      <c r="AD127" s="225" t="s">
        <v>425</v>
      </c>
      <c r="AE127" s="17" t="s">
        <v>373</v>
      </c>
      <c r="AF127" s="17" t="s">
        <v>424</v>
      </c>
      <c r="AG127" s="18" t="s">
        <v>372</v>
      </c>
      <c r="AH127" s="17"/>
      <c r="AJ127" s="20" t="s">
        <v>21</v>
      </c>
      <c r="AK127" s="19" t="s">
        <v>25</v>
      </c>
      <c r="AL127" s="19" t="s">
        <v>26</v>
      </c>
      <c r="AM127" s="21" t="s">
        <v>0</v>
      </c>
      <c r="AN127" s="27"/>
    </row>
    <row r="128" spans="1:40" x14ac:dyDescent="0.25">
      <c r="A128" s="191" t="str">
        <f ca="1">SelectedSensorSystem</f>
        <v>PZHH01</v>
      </c>
      <c r="B128" s="35">
        <f ca="1">ROUND(AG128,SigFigs-1-INT(LOG10(AG128)))</f>
        <v>3.9000000000000002E-7</v>
      </c>
      <c r="C128" s="25">
        <f t="shared" ref="C128" ca="1" si="0">ROUND(1/AM128,SigFigs-1-INT(LOG10(1/AM128)))</f>
        <v>250</v>
      </c>
      <c r="D128" s="192" t="str">
        <f>SensorFMEA</f>
        <v>FMEA_1</v>
      </c>
      <c r="E128" s="192">
        <f>SensorM</f>
        <v>1</v>
      </c>
      <c r="F128" s="192">
        <f>SensorN</f>
        <v>1</v>
      </c>
      <c r="G128" s="3" t="str" cm="1">
        <f t="array" ref="G128:G130">M&amp;"oo"&amp;N</f>
        <v>1oo1</v>
      </c>
      <c r="H128" s="192">
        <f>SensorT1</f>
        <v>1</v>
      </c>
      <c r="I128" s="27"/>
      <c r="J128" s="192">
        <f>SensorMTTR</f>
        <v>3</v>
      </c>
      <c r="K128" s="192">
        <f>SensorMRT</f>
        <v>3</v>
      </c>
      <c r="L128" s="60">
        <f>J128*24</f>
        <v>72</v>
      </c>
      <c r="M128" s="60">
        <f>K128*24</f>
        <v>72</v>
      </c>
      <c r="N128" s="192">
        <f>SensorB</f>
        <v>0.1</v>
      </c>
      <c r="O128" s="192">
        <f>SensorBD</f>
        <v>0.1</v>
      </c>
      <c r="P128" cm="1">
        <f t="array" ref="P128:P130">INDEX(βmultipliers,M,N)* β</f>
        <v>0</v>
      </c>
      <c r="Q128" cm="1">
        <f t="array" ref="Q128:Q130">INDEX(βmultipliers,M,N)* βD</f>
        <v>0</v>
      </c>
      <c r="R128" s="70" cm="1">
        <f t="array" aca="1" ref="R128" ca="1">INDIRECT($D128&amp;"!λDU")</f>
        <v>390</v>
      </c>
      <c r="S128" s="62">
        <f ca="1">R128*10^-9</f>
        <v>3.9000000000000002E-7</v>
      </c>
      <c r="T128" s="70" cm="1">
        <f t="array" aca="1" ref="T128" ca="1">INDIRECT($D128&amp;"!λDD")</f>
        <v>1200</v>
      </c>
      <c r="U128" s="62">
        <f ca="1">T128*10^-9</f>
        <v>1.2000000000000002E-6</v>
      </c>
      <c r="V128" s="24" cm="1">
        <f t="array" aca="1" ref="V128:V130" ca="1">λDD/(λDD+λDU)</f>
        <v>0.75471698113207542</v>
      </c>
      <c r="W128" s="24" cm="1">
        <f t="array" aca="1" ref="W128:W130" ca="1">(λSU+λDD)/(λSU+λDD+λDU)</f>
        <v>0.80975609756097555</v>
      </c>
      <c r="X128" s="70"/>
      <c r="Y128" s="62" cm="1">
        <f t="array" aca="1" ref="Y128:Y130" ca="1">λDU+λDD</f>
        <v>1.5900000000000002E-6</v>
      </c>
      <c r="Z128" s="24"/>
      <c r="AA128" s="70" cm="1">
        <f t="array" aca="1" ref="AA128" ca="1">INDIRECT($D128&amp;"!λsu")</f>
        <v>460</v>
      </c>
      <c r="AB128" s="62">
        <f ca="1">MTBFS*10^-9</f>
        <v>4.6000000000000004E-7</v>
      </c>
      <c r="AC128" cm="1">
        <f t="array" ref="AC128:AC130">(FACT(N)/FACT(M-1))</f>
        <v>1</v>
      </c>
      <c r="AD128" s="35" cm="1">
        <f t="array" aca="1" ref="AD128:AD130" ca="1">(((1-PFHβD)*λDD*MTTR)+((1-PFHβ)*λDU*(T_1/2*8760+MRT)))</f>
        <v>1.8226800000000001E-3</v>
      </c>
      <c r="AE128" s="35" cm="1">
        <f t="array" aca="1" ref="AE128:AE130" ca="1">PFHβ*λDU</f>
        <v>0</v>
      </c>
      <c r="AF128" s="35" cm="1">
        <f t="array" aca="1" ref="AF128:AF130" ca="1">(FACT(N)/FACT(M-1))*λDU*MDT1oo2^(N-M)</f>
        <v>3.9000000000000002E-7</v>
      </c>
      <c r="AG128" s="211">
        <f ca="1">SUM(AE128:AF128)</f>
        <v>3.9000000000000002E-7</v>
      </c>
      <c r="AH128" s="49"/>
      <c r="AI128" cm="1">
        <f t="array" ref="AI128:AI130">(FACT(N)/FACT(N-M))</f>
        <v>1</v>
      </c>
      <c r="AJ128" cm="1">
        <f t="array" ref="AJ128:AJ130">INDEX(βmultipliers,(N-M+1),N)</f>
        <v>0</v>
      </c>
      <c r="AK128" s="35" cm="1">
        <f t="array" aca="1" ref="AK128:AK130" ca="1">(FACT(N)/FACT(N-M))*(λSU*8760)^M*(MTTR/8760)^(M-1)</f>
        <v>4.0296000000000004E-3</v>
      </c>
      <c r="AL128" s="35" cm="1">
        <f t="array" aca="1" ref="AL128:AL130" ca="1">STRbeta* β*(λSU*8760)</f>
        <v>0</v>
      </c>
      <c r="AM128" s="22">
        <f ca="1">AK128+AL128</f>
        <v>4.0296000000000004E-3</v>
      </c>
      <c r="AN128" s="71"/>
    </row>
    <row r="129" spans="1:40" x14ac:dyDescent="0.25">
      <c r="A129" s="191" t="s">
        <v>333</v>
      </c>
      <c r="B129" s="35">
        <f ca="1">ROUND(AG129,SigFigs-1-INT(LOG10(AG129)))</f>
        <v>1.3000000000000001E-9</v>
      </c>
      <c r="C129" s="25">
        <f t="shared" ref="C129" ca="1" si="1">ROUND(1/AM129,SigFigs-1-INT(LOG10(1/AM129)))</f>
        <v>760</v>
      </c>
      <c r="D129" s="192" t="str">
        <f>SolverFMEA</f>
        <v>FMEA_2</v>
      </c>
      <c r="E129" s="192">
        <f>SolverM</f>
        <v>1</v>
      </c>
      <c r="F129" s="192">
        <f>SolverN</f>
        <v>3</v>
      </c>
      <c r="G129" s="3" t="str">
        <v>1oo3</v>
      </c>
      <c r="H129" s="192">
        <f>SolverT1</f>
        <v>1</v>
      </c>
      <c r="I129" s="27"/>
      <c r="J129" s="192">
        <f>SolverMTTR</f>
        <v>3</v>
      </c>
      <c r="K129" s="192">
        <f>SolverMRT</f>
        <v>3</v>
      </c>
      <c r="L129" s="60">
        <f t="shared" ref="L129:L130" si="2">J129*24</f>
        <v>72</v>
      </c>
      <c r="M129" s="60">
        <f t="shared" ref="M129:M130" si="3">K129*24</f>
        <v>72</v>
      </c>
      <c r="N129" s="192">
        <f>SolverB</f>
        <v>0.05</v>
      </c>
      <c r="O129" s="192">
        <f>SolverBD</f>
        <v>0.05</v>
      </c>
      <c r="P129">
        <v>2.5000000000000001E-2</v>
      </c>
      <c r="Q129">
        <v>2.5000000000000001E-2</v>
      </c>
      <c r="R129" s="70" cm="1">
        <f t="array" aca="1" ref="R129" ca="1">INDIRECT($D129&amp;"!λDU")</f>
        <v>50</v>
      </c>
      <c r="S129" s="62">
        <f t="shared" ref="S129:S130" ca="1" si="4">R129*10^-9</f>
        <v>5.0000000000000004E-8</v>
      </c>
      <c r="T129" s="70" cm="1">
        <f t="array" aca="1" ref="T129" ca="1">INDIRECT($D129&amp;"!λDD")</f>
        <v>1000</v>
      </c>
      <c r="U129" s="62">
        <f t="shared" ref="U129:U130" ca="1" si="5">T129*10^-9</f>
        <v>1.0000000000000002E-6</v>
      </c>
      <c r="V129" s="24">
        <f ca="1"/>
        <v>0.95238095238095244</v>
      </c>
      <c r="W129" s="24">
        <f ca="1"/>
        <v>0.95454545454545459</v>
      </c>
      <c r="X129" s="70"/>
      <c r="Y129" s="62">
        <f ca="1"/>
        <v>1.0500000000000001E-6</v>
      </c>
      <c r="Z129" s="24"/>
      <c r="AA129" s="70" cm="1">
        <f t="array" aca="1" ref="AA129" ca="1">INDIRECT($D129&amp;"!λsu")</f>
        <v>50</v>
      </c>
      <c r="AB129" s="62">
        <f ca="1">MTBFS*10^-9</f>
        <v>5.0000000000000004E-8</v>
      </c>
      <c r="AC129">
        <v>6</v>
      </c>
      <c r="AD129" s="35">
        <f ca="1"/>
        <v>2.8723500000000005E-4</v>
      </c>
      <c r="AE129" s="35">
        <f ca="1"/>
        <v>1.2500000000000002E-9</v>
      </c>
      <c r="AF129" s="35">
        <f ca="1"/>
        <v>2.4751183567500013E-14</v>
      </c>
      <c r="AG129" s="211">
        <f ca="1">SUM(AE129:AF129)</f>
        <v>1.2500247511835677E-9</v>
      </c>
      <c r="AH129" s="49"/>
      <c r="AI129">
        <v>3</v>
      </c>
      <c r="AJ129">
        <v>0</v>
      </c>
      <c r="AK129" s="35">
        <f ca="1"/>
        <v>1.3140000000000001E-3</v>
      </c>
      <c r="AL129" s="35">
        <f ca="1"/>
        <v>0</v>
      </c>
      <c r="AM129" s="22">
        <f t="shared" ref="AM129:AM130" ca="1" si="6">AK129+AL129</f>
        <v>1.3140000000000001E-3</v>
      </c>
      <c r="AN129" s="71"/>
    </row>
    <row r="130" spans="1:40" x14ac:dyDescent="0.25">
      <c r="A130" s="191" t="s">
        <v>207</v>
      </c>
      <c r="B130" s="35">
        <f ca="1">ROUND(AG130,SigFigs-1-INT(LOG10(AG130)))</f>
        <v>4.5999999999999999E-7</v>
      </c>
      <c r="C130" s="25">
        <f t="shared" ref="C130" ca="1" si="7">ROUND(1/AM130,SigFigs-1-INT(LOG10(1/AM130)))</f>
        <v>1200</v>
      </c>
      <c r="D130" s="192" t="str">
        <f>FE_FMEA</f>
        <v>FMEA_3</v>
      </c>
      <c r="E130" s="192">
        <f>FE_M</f>
        <v>4</v>
      </c>
      <c r="F130" s="192">
        <f>FE_N</f>
        <v>7</v>
      </c>
      <c r="G130" s="3" t="str">
        <v>4oo7</v>
      </c>
      <c r="H130" s="192">
        <f>FE_T1</f>
        <v>1</v>
      </c>
      <c r="I130" s="27"/>
      <c r="J130" s="192">
        <f>FE_MTTR</f>
        <v>3</v>
      </c>
      <c r="K130" s="192">
        <f>FE_MRT</f>
        <v>3</v>
      </c>
      <c r="L130" s="60">
        <f t="shared" si="2"/>
        <v>72</v>
      </c>
      <c r="M130" s="60">
        <f t="shared" si="3"/>
        <v>72</v>
      </c>
      <c r="N130" s="192">
        <f>FE_B</f>
        <v>0.1</v>
      </c>
      <c r="O130" s="192">
        <f>FE_BD</f>
        <v>0.1</v>
      </c>
      <c r="P130">
        <v>0.2</v>
      </c>
      <c r="Q130">
        <v>0.2</v>
      </c>
      <c r="R130" s="70" cm="1">
        <f t="array" aca="1" ref="R130" ca="1">INDIRECT($D130&amp;"!λDU")</f>
        <v>2300</v>
      </c>
      <c r="S130" s="62">
        <f t="shared" ca="1" si="4"/>
        <v>2.3E-6</v>
      </c>
      <c r="T130" s="70" cm="1">
        <f t="array" aca="1" ref="T130" ca="1">INDIRECT($D130&amp;"!λDD")</f>
        <v>140</v>
      </c>
      <c r="U130" s="62">
        <f t="shared" ca="1" si="5"/>
        <v>1.4000000000000001E-7</v>
      </c>
      <c r="V130" s="24">
        <f ca="1"/>
        <v>5.7377049180327877E-2</v>
      </c>
      <c r="W130" s="24">
        <f ca="1"/>
        <v>0.20689655172413796</v>
      </c>
      <c r="X130" s="70"/>
      <c r="Y130" s="62">
        <f ca="1"/>
        <v>2.4399999999999999E-6</v>
      </c>
      <c r="Z130" s="24"/>
      <c r="AA130" s="70" cm="1">
        <f t="array" aca="1" ref="AA130" ca="1">INDIRECT($D130&amp;"!λsu")</f>
        <v>460</v>
      </c>
      <c r="AB130" s="62">
        <f ca="1">MTBFS*10^-9</f>
        <v>4.6000000000000004E-7</v>
      </c>
      <c r="AC130">
        <v>840</v>
      </c>
      <c r="AD130" s="35">
        <f ca="1"/>
        <v>8.1997440000000019E-3</v>
      </c>
      <c r="AE130" s="35">
        <f ca="1"/>
        <v>4.6000000000000004E-7</v>
      </c>
      <c r="AF130" s="35">
        <f ca="1"/>
        <v>1.0651432100164708E-9</v>
      </c>
      <c r="AG130" s="211">
        <f ca="1">SUM(AE130:AF130)</f>
        <v>4.6106514321001652E-7</v>
      </c>
      <c r="AH130" s="49"/>
      <c r="AI130">
        <v>840</v>
      </c>
      <c r="AJ130">
        <v>2</v>
      </c>
      <c r="AK130" s="35">
        <f ca="1"/>
        <v>1.2297369096172344E-13</v>
      </c>
      <c r="AL130" s="35">
        <f ca="1"/>
        <v>8.0592000000000012E-4</v>
      </c>
      <c r="AM130" s="22">
        <f t="shared" ca="1" si="6"/>
        <v>8.059200001229738E-4</v>
      </c>
      <c r="AN130" s="71"/>
    </row>
    <row r="131" spans="1:40" x14ac:dyDescent="0.25">
      <c r="A131" s="55" t="s">
        <v>346</v>
      </c>
      <c r="AD131" s="35"/>
      <c r="AE131" s="35"/>
    </row>
    <row r="132" spans="1:40" x14ac:dyDescent="0.25">
      <c r="AD132" s="35"/>
      <c r="AE132" s="35"/>
    </row>
    <row r="133" spans="1:40" x14ac:dyDescent="0.25">
      <c r="AD133" s="35"/>
      <c r="AE133" s="35"/>
    </row>
  </sheetData>
  <mergeCells count="21">
    <mergeCell ref="B38:O38"/>
    <mergeCell ref="E7:F7"/>
    <mergeCell ref="B9:O9"/>
    <mergeCell ref="B13:O13"/>
    <mergeCell ref="E15:F15"/>
    <mergeCell ref="B17:O17"/>
    <mergeCell ref="B19:O19"/>
    <mergeCell ref="F20:G20"/>
    <mergeCell ref="B21:O21"/>
    <mergeCell ref="B32:O32"/>
    <mergeCell ref="E34:F34"/>
    <mergeCell ref="B36:O36"/>
    <mergeCell ref="F58:G58"/>
    <mergeCell ref="B59:O59"/>
    <mergeCell ref="E69:F69"/>
    <mergeCell ref="F39:G39"/>
    <mergeCell ref="B40:O40"/>
    <mergeCell ref="B51:O51"/>
    <mergeCell ref="E53:F53"/>
    <mergeCell ref="B55:O55"/>
    <mergeCell ref="B57:O57"/>
  </mergeCells>
  <conditionalFormatting sqref="AE128:AF128">
    <cfRule type="colorScale" priority="2">
      <colorScale>
        <cfvo type="min"/>
        <cfvo type="max"/>
        <color theme="0" tint="-0.14999847407452621"/>
        <color theme="5"/>
      </colorScale>
    </cfRule>
  </conditionalFormatting>
  <conditionalFormatting sqref="AE129:AF129">
    <cfRule type="colorScale" priority="1">
      <colorScale>
        <cfvo type="min"/>
        <cfvo type="max"/>
        <color theme="0" tint="-0.14999847407452621"/>
        <color theme="5"/>
      </colorScale>
    </cfRule>
  </conditionalFormatting>
  <conditionalFormatting sqref="AE130:AF130">
    <cfRule type="colorScale" priority="3">
      <colorScale>
        <cfvo type="min"/>
        <cfvo type="max"/>
        <color theme="0" tint="-0.14999847407452621"/>
        <color theme="5"/>
      </colorScale>
    </cfRule>
  </conditionalFormatting>
  <conditionalFormatting sqref="AH128">
    <cfRule type="colorScale" priority="37">
      <colorScale>
        <cfvo type="min"/>
        <cfvo type="max"/>
        <color theme="0" tint="-0.14999847407452621"/>
        <color rgb="FFFFC000"/>
      </colorScale>
    </cfRule>
  </conditionalFormatting>
  <conditionalFormatting sqref="AH128:AH130">
    <cfRule type="colorScale" priority="15">
      <colorScale>
        <cfvo type="min"/>
        <cfvo type="max"/>
        <color theme="0" tint="-0.14999847407452621"/>
        <color theme="5"/>
      </colorScale>
    </cfRule>
  </conditionalFormatting>
  <conditionalFormatting sqref="AH129">
    <cfRule type="colorScale" priority="40">
      <colorScale>
        <cfvo type="min"/>
        <cfvo type="max"/>
        <color theme="0" tint="-0.14999847407452621"/>
        <color rgb="FFFFC000"/>
      </colorScale>
    </cfRule>
  </conditionalFormatting>
  <conditionalFormatting sqref="AH130">
    <cfRule type="colorScale" priority="43">
      <colorScale>
        <cfvo type="min"/>
        <cfvo type="max"/>
        <color theme="0" tint="-0.14999847407452621"/>
        <color rgb="FFFFC000"/>
      </colorScale>
    </cfRule>
  </conditionalFormatting>
  <conditionalFormatting sqref="AK128:AL128">
    <cfRule type="colorScale" priority="22">
      <colorScale>
        <cfvo type="min"/>
        <cfvo type="max"/>
        <color theme="0" tint="-0.14999847407452621"/>
        <color theme="5"/>
      </colorScale>
    </cfRule>
  </conditionalFormatting>
  <conditionalFormatting sqref="AK129:AL129">
    <cfRule type="colorScale" priority="20">
      <colorScale>
        <cfvo type="min"/>
        <cfvo type="max"/>
        <color theme="0" tint="-0.14999847407452621"/>
        <color theme="5"/>
      </colorScale>
    </cfRule>
  </conditionalFormatting>
  <conditionalFormatting sqref="AK130:AL130">
    <cfRule type="colorScale" priority="24">
      <colorScale>
        <cfvo type="min"/>
        <cfvo type="max"/>
        <color theme="0" tint="-0.14999847407452621"/>
        <color theme="5"/>
      </colorScale>
    </cfRule>
  </conditionalFormatting>
  <dataValidations count="9">
    <dataValidation type="list" allowBlank="1" showInputMessage="1" showErrorMessage="1" sqref="L46:L47 L27:L28 L65:L66" xr:uid="{32F34AF3-6185-4386-92EE-A51B0D4FA4B5}">
      <formula1>βvalues</formula1>
    </dataValidation>
    <dataValidation type="whole" allowBlank="1" showInputMessage="1" showErrorMessage="1" error="Enter a whole number 1, 2 or 3" sqref="B123 D90" xr:uid="{714D08E8-70B6-4C71-A432-31A2746355DB}">
      <formula1>1</formula1>
      <formula2>3</formula2>
    </dataValidation>
    <dataValidation type="list" allowBlank="1" showInputMessage="1" showErrorMessage="1" sqref="O39 O20 O58" xr:uid="{35E300AE-9510-471A-AED7-8D222AF10E03}">
      <formula1>SClist</formula1>
    </dataValidation>
    <dataValidation type="list" allowBlank="1" showInputMessage="1" showErrorMessage="1" sqref="F20 F39 F58" xr:uid="{BCE0BB7D-DEB8-4D8B-8E23-18A5FDC793E4}">
      <formula1>Suitability</formula1>
    </dataValidation>
    <dataValidation type="list" allowBlank="1" showInputMessage="1" showErrorMessage="1" sqref="D89:D90" xr:uid="{CED993B5-33A6-4F8F-BD31-5B3C9F5F978F}">
      <formula1>orders_of_magnitude</formula1>
    </dataValidation>
    <dataValidation type="list" allowBlank="1" showInputMessage="1" showErrorMessage="1" sqref="O24 O43 O62" xr:uid="{221AB35E-9475-4C48-B73E-C457DA04D6B8}">
      <formula1>HFTmethods</formula1>
    </dataValidation>
    <dataValidation type="list" allowBlank="1" showInputMessage="1" showErrorMessage="1" sqref="J7 F5" xr:uid="{9D0D04F2-1748-4BC6-9238-9050751B0283}">
      <formula1>SIL</formula1>
    </dataValidation>
    <dataValidation type="list" allowBlank="1" showInputMessage="1" showErrorMessage="1" promptTitle="Number of channels" prompt="Select a value from the drop down list" sqref="F61 F42 F23" xr:uid="{5BB52E51-88BF-46A5-BCC2-E537AC14D95A}">
      <formula1>Nrange</formula1>
    </dataValidation>
    <dataValidation type="whole" allowBlank="1" showInputMessage="1" showErrorMessage="1" errorTitle="Out of range" error="Restricted to betwen 1 and N" promptTitle="Number needed for trip" prompt="Must be less than or equal to the number of channels" sqref="D61 D42 D23" xr:uid="{D701C819-2541-4CB7-A34C-D6822BACAA8C}">
      <formula1>1</formula1>
      <formula2>F23</formula2>
    </dataValidation>
  </dataValidations>
  <pageMargins left="0.7" right="0.49" top="0.57999999999999996" bottom="0.47" header="0.3" footer="0.3"/>
  <pageSetup paperSize="8" orientation="landscape" r:id="rId1"/>
  <rowBreaks count="1" manualBreakCount="1">
    <brk id="68"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DD54-9C40-42D6-93F6-788953B0AB1B}">
  <dimension ref="A1:AP131"/>
  <sheetViews>
    <sheetView zoomScaleNormal="100" workbookViewId="0">
      <selection activeCell="E7" sqref="E7:F7"/>
    </sheetView>
  </sheetViews>
  <sheetFormatPr defaultRowHeight="15" x14ac:dyDescent="0.25"/>
  <cols>
    <col min="1" max="1" width="11.42578125" customWidth="1"/>
    <col min="2" max="2" width="13" customWidth="1"/>
    <col min="4" max="4" width="12.42578125" customWidth="1"/>
    <col min="5" max="5" width="16" customWidth="1"/>
    <col min="6" max="6" width="13.28515625" customWidth="1"/>
    <col min="7" max="7" width="14.5703125" customWidth="1"/>
    <col min="8" max="8" width="15.7109375" customWidth="1"/>
    <col min="9" max="9" width="9.140625" customWidth="1"/>
    <col min="10" max="10" width="11.140625" customWidth="1"/>
    <col min="11" max="11" width="11" customWidth="1"/>
    <col min="12" max="12" width="20" customWidth="1"/>
    <col min="13" max="13" width="14.28515625" customWidth="1"/>
    <col min="14" max="14" width="12.7109375" customWidth="1"/>
    <col min="15" max="15" width="11.7109375" customWidth="1"/>
    <col min="16" max="16" width="10.42578125" customWidth="1"/>
    <col min="17" max="17" width="12" bestFit="1" customWidth="1"/>
    <col min="18" max="18" width="14.5703125" customWidth="1"/>
    <col min="20" max="20" width="11" bestFit="1" customWidth="1"/>
    <col min="21" max="22" width="10.42578125" customWidth="1"/>
    <col min="26" max="26" width="9.5703125" bestFit="1" customWidth="1"/>
    <col min="29" max="29" width="12.42578125" customWidth="1"/>
    <col min="31" max="31" width="13.5703125" customWidth="1"/>
    <col min="32" max="32" width="12.5703125" customWidth="1"/>
    <col min="33" max="33" width="10" customWidth="1"/>
    <col min="34" max="34" width="13.5703125" customWidth="1"/>
    <col min="41" max="41" width="10.42578125" customWidth="1"/>
    <col min="42" max="42" width="9.7109375" bestFit="1" customWidth="1"/>
    <col min="43" max="43" width="10.5703125" customWidth="1"/>
  </cols>
  <sheetData>
    <row r="1" spans="1:15" ht="61.5" customHeight="1" x14ac:dyDescent="0.25">
      <c r="B1" s="34" t="s">
        <v>308</v>
      </c>
      <c r="C1" s="75"/>
      <c r="D1" s="75"/>
      <c r="E1" s="75"/>
      <c r="F1" s="75"/>
      <c r="G1" s="75"/>
      <c r="H1" s="75"/>
      <c r="I1" s="75"/>
      <c r="J1" s="75"/>
      <c r="K1" s="75"/>
      <c r="L1" s="75"/>
      <c r="M1" s="75"/>
      <c r="N1" s="75"/>
      <c r="O1" s="75"/>
    </row>
    <row r="2" spans="1:15" ht="21" x14ac:dyDescent="0.25">
      <c r="A2" s="34"/>
      <c r="B2" s="75"/>
      <c r="C2" s="75"/>
      <c r="D2" s="75"/>
      <c r="E2" s="75"/>
      <c r="F2" s="75"/>
      <c r="G2" s="75"/>
      <c r="H2" s="75"/>
      <c r="I2" s="75"/>
      <c r="J2" s="75"/>
      <c r="K2" s="75"/>
      <c r="L2" s="75"/>
      <c r="M2" s="75"/>
      <c r="N2" s="75"/>
      <c r="O2" s="75"/>
    </row>
    <row r="3" spans="1:15" ht="20.25" x14ac:dyDescent="0.25">
      <c r="A3" s="109" t="s">
        <v>42</v>
      </c>
      <c r="B3" s="75"/>
      <c r="C3" s="75"/>
      <c r="D3" s="75"/>
      <c r="E3" s="75"/>
      <c r="F3" s="75"/>
      <c r="G3" s="75"/>
      <c r="H3" s="75"/>
      <c r="I3" s="75"/>
      <c r="J3" s="75"/>
      <c r="L3" s="109" t="s">
        <v>420</v>
      </c>
      <c r="M3" s="75"/>
      <c r="N3" s="75"/>
      <c r="O3" s="75"/>
    </row>
    <row r="4" spans="1:15" x14ac:dyDescent="0.25">
      <c r="A4" s="110" t="s">
        <v>53</v>
      </c>
      <c r="B4" s="75"/>
      <c r="C4" s="75"/>
      <c r="D4" s="75"/>
      <c r="E4" s="75"/>
      <c r="F4" s="111"/>
      <c r="H4" s="75"/>
      <c r="I4" s="112" t="s">
        <v>229</v>
      </c>
      <c r="J4" s="112"/>
      <c r="K4" s="112"/>
      <c r="L4" s="112"/>
      <c r="M4" s="112"/>
      <c r="N4" s="112"/>
      <c r="O4" s="75"/>
    </row>
    <row r="5" spans="1:15" x14ac:dyDescent="0.25">
      <c r="A5" s="110" t="s">
        <v>347</v>
      </c>
      <c r="B5" s="75"/>
      <c r="C5" s="75"/>
      <c r="D5" s="75"/>
      <c r="E5" s="75"/>
      <c r="F5" s="198"/>
      <c r="G5" s="75"/>
      <c r="H5" s="75"/>
      <c r="I5" s="75"/>
      <c r="J5" s="75"/>
      <c r="K5" s="75"/>
      <c r="L5" s="75"/>
      <c r="M5" s="75"/>
      <c r="N5" s="75"/>
      <c r="O5" s="75"/>
    </row>
    <row r="6" spans="1:15" x14ac:dyDescent="0.25">
      <c r="A6" s="75"/>
      <c r="B6" s="75"/>
      <c r="C6" s="75"/>
      <c r="D6" s="75"/>
      <c r="E6" s="75"/>
      <c r="F6" s="75"/>
      <c r="G6" s="75"/>
      <c r="H6" s="75"/>
      <c r="I6" s="75"/>
      <c r="J6" s="75"/>
      <c r="K6" s="75"/>
      <c r="L6" s="75"/>
      <c r="M6" s="75"/>
      <c r="N6" s="75"/>
      <c r="O6" s="75"/>
    </row>
    <row r="7" spans="1:15" ht="21" x14ac:dyDescent="0.25">
      <c r="A7" s="109" t="s">
        <v>175</v>
      </c>
      <c r="B7" s="113"/>
      <c r="C7" s="113"/>
      <c r="D7" s="113"/>
      <c r="E7" s="243" t="s">
        <v>422</v>
      </c>
      <c r="F7" s="243"/>
      <c r="G7" s="113"/>
      <c r="H7" s="113"/>
      <c r="I7" s="114" t="s">
        <v>178</v>
      </c>
      <c r="J7" s="186">
        <v>2</v>
      </c>
      <c r="K7" s="109"/>
      <c r="L7" s="109"/>
      <c r="M7" s="114" t="s">
        <v>366</v>
      </c>
      <c r="N7" s="215">
        <f>10^-6</f>
        <v>9.9999999999999995E-7</v>
      </c>
      <c r="O7" s="210" t="s">
        <v>367</v>
      </c>
    </row>
    <row r="8" spans="1:15" ht="20.25" x14ac:dyDescent="0.25">
      <c r="A8" s="115"/>
      <c r="B8" s="110" t="s">
        <v>176</v>
      </c>
      <c r="C8" s="75"/>
      <c r="D8" s="75"/>
      <c r="E8" s="75"/>
      <c r="F8" s="75"/>
      <c r="G8" s="75"/>
      <c r="H8" s="75"/>
      <c r="I8" s="75"/>
      <c r="J8" s="75"/>
      <c r="K8" s="109"/>
      <c r="L8" s="75"/>
      <c r="M8" s="75"/>
      <c r="N8" s="75"/>
      <c r="O8" s="75"/>
    </row>
    <row r="9" spans="1:15" x14ac:dyDescent="0.25">
      <c r="A9" s="115"/>
      <c r="B9" s="244" t="s">
        <v>348</v>
      </c>
      <c r="C9" s="244"/>
      <c r="D9" s="244"/>
      <c r="E9" s="244"/>
      <c r="F9" s="244"/>
      <c r="G9" s="244"/>
      <c r="H9" s="244"/>
      <c r="I9" s="244"/>
      <c r="J9" s="244"/>
      <c r="K9" s="244"/>
      <c r="L9" s="244"/>
      <c r="M9" s="244"/>
      <c r="N9" s="244"/>
      <c r="O9" s="244"/>
    </row>
    <row r="10" spans="1:15" x14ac:dyDescent="0.25">
      <c r="A10" s="75"/>
      <c r="B10" s="75"/>
      <c r="C10" s="75"/>
      <c r="D10" s="75"/>
      <c r="E10" s="75"/>
      <c r="F10" s="75"/>
      <c r="G10" s="75"/>
      <c r="H10" s="75"/>
      <c r="I10" s="75"/>
      <c r="J10" s="75"/>
      <c r="K10" s="75"/>
      <c r="L10" s="75"/>
      <c r="M10" s="75"/>
      <c r="N10" s="75"/>
      <c r="O10" s="75"/>
    </row>
    <row r="11" spans="1:15" ht="18" x14ac:dyDescent="0.25">
      <c r="A11" s="99" t="s">
        <v>43</v>
      </c>
      <c r="B11" s="75"/>
      <c r="C11" s="75"/>
      <c r="D11" s="75"/>
      <c r="E11" s="75"/>
      <c r="F11" s="75"/>
      <c r="G11" s="75"/>
      <c r="H11" s="75"/>
      <c r="I11" s="75"/>
      <c r="J11" s="75"/>
      <c r="K11" s="75"/>
      <c r="L11" s="75"/>
      <c r="M11" s="75"/>
      <c r="N11" s="75"/>
      <c r="O11" s="75"/>
    </row>
    <row r="12" spans="1:15" x14ac:dyDescent="0.25">
      <c r="A12" s="115"/>
      <c r="B12" s="110" t="s">
        <v>177</v>
      </c>
      <c r="C12" s="75"/>
      <c r="D12" s="75"/>
      <c r="E12" s="75"/>
      <c r="F12" s="75"/>
      <c r="G12" s="75"/>
      <c r="H12" s="75"/>
      <c r="I12" s="75"/>
      <c r="J12" s="75"/>
      <c r="K12" s="75"/>
      <c r="L12" s="75"/>
      <c r="M12" s="75"/>
      <c r="N12" s="75"/>
      <c r="O12" s="75"/>
    </row>
    <row r="13" spans="1:15" ht="33.75" customHeight="1" x14ac:dyDescent="0.25">
      <c r="A13" s="115"/>
      <c r="B13" s="245" t="s">
        <v>349</v>
      </c>
      <c r="C13" s="245"/>
      <c r="D13" s="245"/>
      <c r="E13" s="245"/>
      <c r="F13" s="245"/>
      <c r="G13" s="245"/>
      <c r="H13" s="245"/>
      <c r="I13" s="245"/>
      <c r="J13" s="245"/>
      <c r="K13" s="245"/>
      <c r="L13" s="245"/>
      <c r="M13" s="245"/>
      <c r="N13" s="245"/>
      <c r="O13" s="245"/>
    </row>
    <row r="14" spans="1:15" ht="18" x14ac:dyDescent="0.25">
      <c r="A14" s="99"/>
      <c r="B14" s="75"/>
      <c r="C14" s="75"/>
      <c r="D14" s="75"/>
      <c r="E14" s="75"/>
      <c r="F14" s="75"/>
      <c r="G14" s="75"/>
      <c r="H14" s="75"/>
      <c r="I14" s="75"/>
      <c r="J14" s="75"/>
      <c r="K14" s="75"/>
      <c r="L14" s="75"/>
      <c r="M14" s="75"/>
      <c r="N14" s="75"/>
      <c r="O14" s="75"/>
    </row>
    <row r="15" spans="1:15" ht="18" x14ac:dyDescent="0.25">
      <c r="A15" s="99"/>
      <c r="B15" s="110" t="s">
        <v>160</v>
      </c>
      <c r="C15" s="75"/>
      <c r="D15" s="75"/>
      <c r="E15" s="244" t="s">
        <v>128</v>
      </c>
      <c r="F15" s="244"/>
      <c r="G15" s="75"/>
      <c r="H15" s="75"/>
      <c r="I15" s="110" t="s">
        <v>89</v>
      </c>
      <c r="J15" s="116" t="str" cm="1">
        <f t="array" aca="1" ref="J15" ca="1">INDIRECT(SensorFMEA&amp;"!Eqpt_ID")</f>
        <v>PZHH01</v>
      </c>
      <c r="K15" s="75"/>
      <c r="L15" s="75"/>
      <c r="M15" s="75"/>
      <c r="N15" s="75"/>
      <c r="O15" s="75"/>
    </row>
    <row r="16" spans="1:15" ht="18" x14ac:dyDescent="0.25">
      <c r="A16" s="99"/>
      <c r="B16" s="110" t="s">
        <v>154</v>
      </c>
      <c r="C16" s="75"/>
      <c r="D16" s="75"/>
      <c r="E16" s="75"/>
      <c r="F16" s="75"/>
      <c r="G16" s="75"/>
      <c r="H16" s="75"/>
      <c r="I16" s="75"/>
      <c r="J16" s="75"/>
      <c r="K16" s="75"/>
      <c r="L16" s="75"/>
      <c r="M16" s="75"/>
      <c r="N16" s="75"/>
      <c r="O16" s="75"/>
    </row>
    <row r="17" spans="1:15" ht="18" x14ac:dyDescent="0.25">
      <c r="A17" s="99"/>
      <c r="B17" s="242" t="str" cm="1">
        <f t="array" aca="1" ref="B17" ca="1">INDIRECT(SensorFMEA&amp;"!Manufacturers_and_models")</f>
        <v>Generic 4-20mA pressure transmitter with impulse line connection</v>
      </c>
      <c r="C17" s="242"/>
      <c r="D17" s="242"/>
      <c r="E17" s="242"/>
      <c r="F17" s="242"/>
      <c r="G17" s="242"/>
      <c r="H17" s="242"/>
      <c r="I17" s="242"/>
      <c r="J17" s="242"/>
      <c r="K17" s="242"/>
      <c r="L17" s="242"/>
      <c r="M17" s="242"/>
      <c r="N17" s="242"/>
      <c r="O17" s="242"/>
    </row>
    <row r="18" spans="1:15" ht="18" x14ac:dyDescent="0.25">
      <c r="A18" s="99"/>
      <c r="B18" s="110" t="s">
        <v>52</v>
      </c>
      <c r="C18" s="75"/>
      <c r="D18" s="75"/>
      <c r="E18" s="75"/>
      <c r="F18" s="75"/>
      <c r="G18" s="75"/>
      <c r="H18" s="75"/>
      <c r="I18" s="75"/>
      <c r="J18" s="75"/>
      <c r="K18" s="75"/>
      <c r="L18" s="75"/>
      <c r="M18" s="75"/>
      <c r="N18" s="75"/>
      <c r="O18" s="75"/>
    </row>
    <row r="19" spans="1:15" ht="18" x14ac:dyDescent="0.25">
      <c r="A19" s="99"/>
      <c r="B19" s="242" t="str" cm="1">
        <f t="array" aca="1" ref="B19" ca="1">INDIRECT(SensorFMEA&amp;"!references")</f>
        <v>Quote references sources here</v>
      </c>
      <c r="C19" s="242"/>
      <c r="D19" s="242"/>
      <c r="E19" s="242"/>
      <c r="F19" s="242"/>
      <c r="G19" s="242"/>
      <c r="H19" s="242"/>
      <c r="I19" s="242"/>
      <c r="J19" s="242"/>
      <c r="K19" s="242"/>
      <c r="L19" s="242"/>
      <c r="M19" s="242"/>
      <c r="N19" s="242"/>
      <c r="O19" s="242"/>
    </row>
    <row r="20" spans="1:15" ht="18" x14ac:dyDescent="0.25">
      <c r="A20" s="99"/>
      <c r="B20" s="110" t="s">
        <v>54</v>
      </c>
      <c r="C20" s="75"/>
      <c r="D20" s="75"/>
      <c r="E20" s="75"/>
      <c r="F20" s="246" t="s">
        <v>277</v>
      </c>
      <c r="G20" s="246"/>
      <c r="H20" s="75"/>
      <c r="I20" s="110"/>
      <c r="J20" s="75"/>
      <c r="K20" s="110" t="s">
        <v>292</v>
      </c>
      <c r="L20" s="75"/>
      <c r="M20" s="75"/>
      <c r="N20" s="75"/>
      <c r="O20" s="188">
        <v>1</v>
      </c>
    </row>
    <row r="21" spans="1:15" ht="18" x14ac:dyDescent="0.25">
      <c r="A21" s="99"/>
      <c r="B21" s="242" t="str" cm="1">
        <f t="array" aca="1" ref="B21" ca="1">INDIRECT(SensorFMEA&amp;"!Suitability")</f>
        <v>Refer to either a safety manual or to a prior use analysis report</v>
      </c>
      <c r="C21" s="242"/>
      <c r="D21" s="242"/>
      <c r="E21" s="242"/>
      <c r="F21" s="242"/>
      <c r="G21" s="242"/>
      <c r="H21" s="242"/>
      <c r="I21" s="242"/>
      <c r="J21" s="242"/>
      <c r="K21" s="242"/>
      <c r="L21" s="242"/>
      <c r="M21" s="242"/>
      <c r="N21" s="242"/>
      <c r="O21" s="242"/>
    </row>
    <row r="22" spans="1:15" ht="18.75" x14ac:dyDescent="0.25">
      <c r="A22" s="75"/>
      <c r="B22" s="117" t="s">
        <v>280</v>
      </c>
      <c r="C22" s="75"/>
      <c r="D22" s="75"/>
      <c r="E22" s="75"/>
      <c r="F22" s="75"/>
      <c r="G22" s="75"/>
      <c r="H22" s="75"/>
      <c r="I22" s="75"/>
      <c r="J22" s="75"/>
      <c r="K22" s="75"/>
      <c r="L22" s="75"/>
      <c r="M22" s="75"/>
      <c r="N22" s="75"/>
      <c r="O22" s="75"/>
    </row>
    <row r="23" spans="1:15" ht="18" x14ac:dyDescent="0.25">
      <c r="A23" s="99"/>
      <c r="B23" s="110" t="s">
        <v>231</v>
      </c>
      <c r="C23" s="75"/>
      <c r="D23" s="111">
        <v>1</v>
      </c>
      <c r="E23" s="83" t="s">
        <v>332</v>
      </c>
      <c r="F23" s="111">
        <v>3</v>
      </c>
      <c r="I23" s="55" t="s">
        <v>166</v>
      </c>
      <c r="J23" s="75"/>
      <c r="K23" s="118">
        <f>SensorN-SensorM</f>
        <v>2</v>
      </c>
      <c r="L23" s="75"/>
      <c r="M23" s="75"/>
      <c r="N23" s="75"/>
      <c r="O23" s="75"/>
    </row>
    <row r="24" spans="1:15" ht="18" x14ac:dyDescent="0.25">
      <c r="A24" s="99"/>
      <c r="B24" s="110" t="s">
        <v>230</v>
      </c>
      <c r="C24" s="75"/>
      <c r="D24" s="119" cm="1">
        <f t="array" aca="1" ref="D24" ca="1">INDEX(Route1H_Tables,K24,SensorHFT+2)</f>
        <v>3</v>
      </c>
      <c r="E24" s="75"/>
      <c r="F24" s="55" t="s">
        <v>233</v>
      </c>
      <c r="G24" s="75"/>
      <c r="H24" s="118" t="str" cm="1">
        <f t="array" aca="1" ref="H24" ca="1">INDIRECT(SensorFMEA&amp;"!HFTType")</f>
        <v>Type B</v>
      </c>
      <c r="I24" s="73" t="s">
        <v>125</v>
      </c>
      <c r="J24" s="120">
        <f ca="1">VLOOKUP(SelectedSensorSystem,SubSysTable,23,FALSE)</f>
        <v>0.80975609756097555</v>
      </c>
      <c r="K24" s="121">
        <f ca="1">IF(H24="Type A",MATCH(J24,SFFRange,1),MATCH(J24,SFFRange,1)+10)</f>
        <v>12</v>
      </c>
      <c r="L24" s="75"/>
      <c r="M24" s="110" t="s">
        <v>261</v>
      </c>
      <c r="N24" s="75"/>
      <c r="O24" s="187" t="s">
        <v>265</v>
      </c>
    </row>
    <row r="25" spans="1:15" ht="18" x14ac:dyDescent="0.25">
      <c r="A25" s="99"/>
      <c r="B25" s="110" t="s">
        <v>232</v>
      </c>
      <c r="C25" s="75"/>
      <c r="D25" s="119">
        <f>VLOOKUP(SensorHFT,HFTtoSIL61511,2)</f>
        <v>4</v>
      </c>
      <c r="E25" s="75"/>
      <c r="F25" s="110" t="s">
        <v>234</v>
      </c>
      <c r="G25" s="75"/>
      <c r="H25" s="75"/>
      <c r="I25" s="75"/>
      <c r="J25" s="75"/>
      <c r="K25" s="75"/>
      <c r="L25" s="75"/>
      <c r="M25" s="75"/>
      <c r="N25" s="75"/>
      <c r="O25" s="119" cm="1">
        <f t="array" ref="O25">IF(SensorSuitability="Evidence not available",0,INDEX(D24:D29,VLOOKUP(O24,HFT_method_index,2,FALSE)))</f>
        <v>4</v>
      </c>
    </row>
    <row r="26" spans="1:15" ht="18" x14ac:dyDescent="0.25">
      <c r="A26" s="99"/>
      <c r="B26" s="110" t="s">
        <v>235</v>
      </c>
      <c r="C26" s="75"/>
      <c r="D26" s="119">
        <f>D25</f>
        <v>4</v>
      </c>
      <c r="E26" s="75"/>
      <c r="F26" s="110" t="s">
        <v>236</v>
      </c>
      <c r="G26" s="75"/>
      <c r="H26" s="75"/>
      <c r="I26" s="75"/>
      <c r="J26" s="75"/>
      <c r="K26" s="75"/>
      <c r="L26" s="75"/>
      <c r="M26" s="75"/>
      <c r="N26" s="75"/>
      <c r="O26" s="75"/>
    </row>
    <row r="27" spans="1:15" ht="18" x14ac:dyDescent="0.3">
      <c r="A27" s="99"/>
      <c r="B27" s="110" t="s">
        <v>382</v>
      </c>
      <c r="C27" s="75"/>
      <c r="D27" s="111">
        <v>1</v>
      </c>
      <c r="E27" s="75"/>
      <c r="H27" s="110" t="s">
        <v>336</v>
      </c>
      <c r="I27" s="111">
        <v>3</v>
      </c>
      <c r="K27" s="193" t="s">
        <v>338</v>
      </c>
      <c r="L27" s="197">
        <v>0.1</v>
      </c>
      <c r="M27" s="75" t="s">
        <v>341</v>
      </c>
      <c r="N27" s="75"/>
      <c r="O27" s="75"/>
    </row>
    <row r="28" spans="1:15" ht="18" x14ac:dyDescent="0.3">
      <c r="A28" s="99"/>
      <c r="B28" s="110"/>
      <c r="C28" s="75"/>
      <c r="D28" s="75"/>
      <c r="E28" s="75"/>
      <c r="H28" s="110" t="s">
        <v>337</v>
      </c>
      <c r="I28" s="111">
        <v>3</v>
      </c>
      <c r="K28" s="193" t="s">
        <v>339</v>
      </c>
      <c r="L28" s="197">
        <v>0.1</v>
      </c>
      <c r="M28" s="75" t="s">
        <v>340</v>
      </c>
      <c r="N28" s="75"/>
      <c r="O28" s="75"/>
    </row>
    <row r="29" spans="1:15" ht="18" x14ac:dyDescent="0.25">
      <c r="A29" s="99"/>
      <c r="B29" s="110"/>
      <c r="C29" s="75"/>
      <c r="D29" s="75"/>
      <c r="E29" s="75"/>
      <c r="F29" s="110"/>
      <c r="G29" s="75"/>
      <c r="H29" s="75"/>
      <c r="I29" s="75"/>
      <c r="J29" s="75"/>
      <c r="K29" s="75"/>
      <c r="L29" s="75"/>
      <c r="M29" s="75"/>
      <c r="N29" s="75"/>
      <c r="O29" s="75"/>
    </row>
    <row r="30" spans="1:15" ht="18" x14ac:dyDescent="0.25">
      <c r="A30" s="99" t="s">
        <v>211</v>
      </c>
      <c r="B30" s="75"/>
      <c r="C30" s="75"/>
      <c r="D30" s="75"/>
      <c r="E30" s="75"/>
      <c r="F30" s="75"/>
      <c r="G30" s="75"/>
      <c r="H30" s="75"/>
      <c r="I30" s="75"/>
      <c r="J30" s="75"/>
      <c r="K30" s="75"/>
      <c r="L30" s="75"/>
      <c r="M30" s="75"/>
      <c r="N30" s="75"/>
      <c r="O30" s="75"/>
    </row>
    <row r="31" spans="1:15" x14ac:dyDescent="0.25">
      <c r="A31" s="115"/>
      <c r="B31" s="110" t="s">
        <v>213</v>
      </c>
      <c r="C31" s="75"/>
      <c r="D31" s="75"/>
      <c r="E31" s="75"/>
      <c r="F31" s="75"/>
      <c r="G31" s="75"/>
      <c r="H31" s="75"/>
      <c r="I31" s="75"/>
      <c r="J31" s="75"/>
      <c r="K31" s="75"/>
      <c r="L31" s="75"/>
      <c r="M31" s="75"/>
      <c r="N31" s="75"/>
      <c r="O31" s="75"/>
    </row>
    <row r="32" spans="1:15" ht="33.75" customHeight="1" x14ac:dyDescent="0.25">
      <c r="A32" s="115"/>
      <c r="B32" s="245"/>
      <c r="C32" s="245"/>
      <c r="D32" s="245"/>
      <c r="E32" s="245"/>
      <c r="F32" s="245"/>
      <c r="G32" s="245"/>
      <c r="H32" s="245"/>
      <c r="I32" s="245"/>
      <c r="J32" s="245"/>
      <c r="K32" s="245"/>
      <c r="L32" s="245"/>
      <c r="M32" s="245"/>
      <c r="N32" s="245"/>
      <c r="O32" s="245"/>
    </row>
    <row r="33" spans="1:15" ht="18" x14ac:dyDescent="0.25">
      <c r="A33" s="99"/>
      <c r="B33" s="75"/>
      <c r="C33" s="75"/>
      <c r="D33" s="75"/>
      <c r="E33" s="75"/>
      <c r="F33" s="75"/>
      <c r="G33" s="75"/>
      <c r="H33" s="75"/>
      <c r="I33" s="75"/>
      <c r="J33" s="75"/>
      <c r="K33" s="75"/>
      <c r="L33" s="75"/>
      <c r="M33" s="75"/>
      <c r="N33" s="75"/>
      <c r="O33" s="75"/>
    </row>
    <row r="34" spans="1:15" ht="18" x14ac:dyDescent="0.25">
      <c r="A34" s="99"/>
      <c r="B34" s="110" t="s">
        <v>160</v>
      </c>
      <c r="C34" s="75"/>
      <c r="D34" s="75"/>
      <c r="E34" s="244" t="s">
        <v>185</v>
      </c>
      <c r="F34" s="244"/>
      <c r="G34" s="75"/>
      <c r="H34" s="75"/>
      <c r="I34" s="110" t="s">
        <v>89</v>
      </c>
      <c r="J34" s="116" t="str" cm="1">
        <f t="array" aca="1" ref="J34" ca="1">INDIRECT(SolverFMEA&amp;"!Eqpt_ID")</f>
        <v>Solver1</v>
      </c>
      <c r="K34" s="75"/>
      <c r="L34" s="75"/>
      <c r="M34" s="75"/>
      <c r="N34" s="75"/>
      <c r="O34" s="75"/>
    </row>
    <row r="35" spans="1:15" ht="18" x14ac:dyDescent="0.25">
      <c r="A35" s="99"/>
      <c r="B35" s="110" t="s">
        <v>154</v>
      </c>
      <c r="C35" s="75"/>
      <c r="D35" s="75"/>
      <c r="E35" s="75" t="s">
        <v>162</v>
      </c>
      <c r="F35" s="75"/>
      <c r="G35" s="75"/>
      <c r="H35" s="75"/>
      <c r="I35" s="75"/>
      <c r="J35" s="75"/>
      <c r="K35" s="75"/>
      <c r="L35" s="75"/>
      <c r="M35" s="75"/>
      <c r="N35" s="75"/>
      <c r="O35" s="75"/>
    </row>
    <row r="36" spans="1:15" ht="18" x14ac:dyDescent="0.25">
      <c r="A36" s="99"/>
      <c r="B36" s="242" t="str" cm="1">
        <f t="array" aca="1" ref="B36" ca="1">INDIRECT(SolverFMEA&amp;"!Manufacturers_and_models")</f>
        <v>Generic 2oo3</v>
      </c>
      <c r="C36" s="242"/>
      <c r="D36" s="242"/>
      <c r="E36" s="242"/>
      <c r="F36" s="242"/>
      <c r="G36" s="242"/>
      <c r="H36" s="242"/>
      <c r="I36" s="242"/>
      <c r="J36" s="242"/>
      <c r="K36" s="242"/>
      <c r="L36" s="242"/>
      <c r="M36" s="242"/>
      <c r="N36" s="242"/>
      <c r="O36" s="242"/>
    </row>
    <row r="37" spans="1:15" ht="18" x14ac:dyDescent="0.25">
      <c r="A37" s="99"/>
      <c r="B37" s="110" t="s">
        <v>52</v>
      </c>
      <c r="C37" s="75"/>
      <c r="D37" s="75"/>
      <c r="E37" s="75"/>
      <c r="F37" s="75"/>
      <c r="G37" s="75"/>
      <c r="H37" s="75"/>
      <c r="I37" s="75"/>
      <c r="J37" s="75"/>
      <c r="K37" s="75"/>
      <c r="L37" s="75"/>
      <c r="M37" s="75"/>
      <c r="N37" s="75"/>
      <c r="O37" s="75"/>
    </row>
    <row r="38" spans="1:15" ht="18" x14ac:dyDescent="0.25">
      <c r="A38" s="99"/>
      <c r="B38" s="242" t="str" cm="1">
        <f t="array" aca="1" ref="B38" ca="1">INDIRECT(SolverFMEA&amp;"!references")</f>
        <v>Quote references sources here</v>
      </c>
      <c r="C38" s="242"/>
      <c r="D38" s="242"/>
      <c r="E38" s="242"/>
      <c r="F38" s="242"/>
      <c r="G38" s="242"/>
      <c r="H38" s="242"/>
      <c r="I38" s="242"/>
      <c r="J38" s="242"/>
      <c r="K38" s="242"/>
      <c r="L38" s="242"/>
      <c r="M38" s="242"/>
      <c r="N38" s="242"/>
      <c r="O38" s="242"/>
    </row>
    <row r="39" spans="1:15" ht="18" x14ac:dyDescent="0.25">
      <c r="A39" s="99"/>
      <c r="B39" s="110" t="s">
        <v>54</v>
      </c>
      <c r="C39" s="75"/>
      <c r="D39" s="75"/>
      <c r="E39" s="75"/>
      <c r="F39" s="246" t="s">
        <v>277</v>
      </c>
      <c r="G39" s="246"/>
      <c r="H39" s="75"/>
      <c r="I39" s="75"/>
      <c r="J39" s="75"/>
      <c r="K39" s="110" t="s">
        <v>292</v>
      </c>
      <c r="L39" s="75"/>
      <c r="M39" s="75"/>
      <c r="N39" s="75"/>
      <c r="O39" s="188">
        <v>3</v>
      </c>
    </row>
    <row r="40" spans="1:15" ht="18" x14ac:dyDescent="0.25">
      <c r="A40" s="99"/>
      <c r="B40" s="242" t="str" cm="1">
        <f t="array" aca="1" ref="B40" ca="1">INDIRECT(SolverFMEA&amp;"!Suitability")</f>
        <v>Refer to either a safety manual or to a prior use analysis report</v>
      </c>
      <c r="C40" s="242"/>
      <c r="D40" s="242"/>
      <c r="E40" s="242"/>
      <c r="F40" s="242"/>
      <c r="G40" s="242"/>
      <c r="H40" s="242"/>
      <c r="I40" s="242"/>
      <c r="J40" s="242"/>
      <c r="K40" s="242"/>
      <c r="L40" s="242"/>
      <c r="M40" s="242"/>
      <c r="N40" s="242"/>
      <c r="O40" s="242"/>
    </row>
    <row r="41" spans="1:15" ht="18.75" x14ac:dyDescent="0.25">
      <c r="A41" s="75"/>
      <c r="B41" s="117" t="s">
        <v>280</v>
      </c>
      <c r="C41" s="75"/>
      <c r="D41" s="75"/>
      <c r="E41" s="75"/>
      <c r="F41" s="75"/>
      <c r="G41" s="75"/>
      <c r="H41" s="75"/>
      <c r="I41" s="75"/>
      <c r="J41" s="75"/>
      <c r="K41" s="75"/>
      <c r="L41" s="75"/>
      <c r="M41" s="75"/>
      <c r="N41" s="75"/>
      <c r="O41" s="75"/>
    </row>
    <row r="42" spans="1:15" ht="18" x14ac:dyDescent="0.25">
      <c r="A42" s="99"/>
      <c r="B42" s="110" t="s">
        <v>231</v>
      </c>
      <c r="C42" s="75"/>
      <c r="D42" s="111">
        <v>2</v>
      </c>
      <c r="E42" s="83" t="s">
        <v>332</v>
      </c>
      <c r="F42" s="111">
        <v>3</v>
      </c>
      <c r="I42" s="55" t="s">
        <v>166</v>
      </c>
      <c r="J42" s="73"/>
      <c r="K42" s="118">
        <f>SolverN-SolverM</f>
        <v>1</v>
      </c>
      <c r="L42" s="75"/>
      <c r="M42" s="75"/>
      <c r="N42" s="75"/>
      <c r="O42" s="75"/>
    </row>
    <row r="43" spans="1:15" ht="18" x14ac:dyDescent="0.25">
      <c r="A43" s="99"/>
      <c r="B43" s="110" t="s">
        <v>230</v>
      </c>
      <c r="C43" s="75"/>
      <c r="D43" s="119" cm="1">
        <f t="array" aca="1" ref="D43" ca="1">INDEX(Route1H_Tables,K43,SolverHFT+2)</f>
        <v>3</v>
      </c>
      <c r="E43" s="75"/>
      <c r="F43" s="55" t="s">
        <v>233</v>
      </c>
      <c r="G43" s="75"/>
      <c r="H43" s="118" t="str" cm="1">
        <f t="array" aca="1" ref="H43" ca="1">INDIRECT(SolverFMEA&amp;"!HFTType")</f>
        <v>Type B</v>
      </c>
      <c r="I43" s="73" t="s">
        <v>125</v>
      </c>
      <c r="J43" s="120">
        <f ca="1">VLOOKUP(SelectedSolver,SubSysTable,23,FALSE)</f>
        <v>0.95454545454545459</v>
      </c>
      <c r="K43" s="121">
        <f ca="1">IF(H43="Type A",MATCH(J43,SFFRange,1),MATCH(J43,SFFRange,1)+10)</f>
        <v>13</v>
      </c>
      <c r="L43" s="75"/>
      <c r="M43" s="110" t="s">
        <v>261</v>
      </c>
      <c r="N43" s="75"/>
      <c r="O43" s="187" t="s">
        <v>266</v>
      </c>
    </row>
    <row r="44" spans="1:15" ht="18" x14ac:dyDescent="0.25">
      <c r="A44" s="99"/>
      <c r="B44" s="110" t="s">
        <v>232</v>
      </c>
      <c r="C44" s="75"/>
      <c r="D44" s="119">
        <f>VLOOKUP(SolverHFT,HFTtoSIL61511,2)</f>
        <v>3</v>
      </c>
      <c r="E44" s="75"/>
      <c r="F44" s="110" t="s">
        <v>234</v>
      </c>
      <c r="G44" s="75"/>
      <c r="H44" s="75"/>
      <c r="I44" s="75"/>
      <c r="J44" s="75"/>
      <c r="K44" s="75"/>
      <c r="L44" s="75"/>
      <c r="M44" s="75"/>
      <c r="N44" s="75"/>
      <c r="O44" s="119" cm="1">
        <f t="array" aca="1" ref="O44" ca="1">IF(SolverSuitability="Evidence not available",0,INDEX(D43:D45,VLOOKUP(O43,HFT_method_index,2,FALSE)))</f>
        <v>3</v>
      </c>
    </row>
    <row r="45" spans="1:15" ht="18" x14ac:dyDescent="0.25">
      <c r="A45" s="99"/>
      <c r="B45" s="110" t="s">
        <v>235</v>
      </c>
      <c r="C45" s="75"/>
      <c r="D45" s="119">
        <f>D44</f>
        <v>3</v>
      </c>
      <c r="E45" s="75"/>
      <c r="F45" s="110" t="s">
        <v>236</v>
      </c>
      <c r="G45" s="75"/>
      <c r="H45" s="75"/>
      <c r="I45" s="75"/>
      <c r="J45" s="75"/>
      <c r="K45" s="75"/>
      <c r="L45" s="75"/>
      <c r="M45" s="75"/>
      <c r="N45" s="75"/>
      <c r="O45" s="75"/>
    </row>
    <row r="46" spans="1:15" ht="18" x14ac:dyDescent="0.3">
      <c r="A46" s="99"/>
      <c r="B46" s="110" t="s">
        <v>382</v>
      </c>
      <c r="C46" s="75"/>
      <c r="D46" s="111">
        <v>1</v>
      </c>
      <c r="E46" s="75"/>
      <c r="H46" s="110" t="s">
        <v>336</v>
      </c>
      <c r="I46" s="111">
        <v>3</v>
      </c>
      <c r="K46" s="193" t="s">
        <v>338</v>
      </c>
      <c r="L46" s="197">
        <v>0.05</v>
      </c>
      <c r="M46" s="75" t="s">
        <v>341</v>
      </c>
      <c r="N46" s="75"/>
      <c r="O46" s="75"/>
    </row>
    <row r="47" spans="1:15" ht="18" x14ac:dyDescent="0.3">
      <c r="A47" s="99"/>
      <c r="B47" s="75"/>
      <c r="C47" s="75"/>
      <c r="D47" s="75"/>
      <c r="E47" s="75"/>
      <c r="H47" s="110" t="s">
        <v>337</v>
      </c>
      <c r="I47" s="111">
        <v>3</v>
      </c>
      <c r="K47" s="193" t="s">
        <v>339</v>
      </c>
      <c r="L47" s="197">
        <v>0.05</v>
      </c>
      <c r="M47" s="75" t="s">
        <v>340</v>
      </c>
      <c r="N47" s="75"/>
      <c r="O47" s="75"/>
    </row>
    <row r="48" spans="1:15" x14ac:dyDescent="0.25">
      <c r="A48" s="75"/>
      <c r="B48" s="75"/>
      <c r="C48" s="75"/>
      <c r="D48" s="75"/>
      <c r="E48" s="75"/>
      <c r="F48" s="75"/>
      <c r="G48" s="75"/>
      <c r="H48" s="75"/>
      <c r="I48" s="75"/>
      <c r="J48" s="75"/>
      <c r="K48" s="75"/>
      <c r="L48" s="75"/>
      <c r="M48" s="75"/>
      <c r="N48" s="75"/>
      <c r="O48" s="75"/>
    </row>
    <row r="49" spans="1:15" ht="18" x14ac:dyDescent="0.25">
      <c r="A49" s="99" t="s">
        <v>212</v>
      </c>
      <c r="B49" s="75"/>
      <c r="C49" s="75"/>
      <c r="D49" s="75"/>
      <c r="E49" s="75"/>
      <c r="F49" s="75"/>
      <c r="G49" s="75"/>
      <c r="H49" s="75"/>
      <c r="I49" s="75"/>
      <c r="J49" s="75"/>
      <c r="K49" s="75"/>
      <c r="L49" s="75"/>
      <c r="M49" s="75"/>
      <c r="N49" s="75"/>
      <c r="O49" s="75"/>
    </row>
    <row r="50" spans="1:15" x14ac:dyDescent="0.25">
      <c r="A50" s="115"/>
      <c r="B50" s="110" t="s">
        <v>209</v>
      </c>
      <c r="C50" s="75"/>
      <c r="D50" s="75"/>
      <c r="E50" s="75"/>
      <c r="F50" s="75"/>
      <c r="G50" s="75"/>
      <c r="H50" s="75"/>
      <c r="I50" s="75"/>
      <c r="J50" s="75"/>
      <c r="K50" s="75"/>
      <c r="L50" s="75"/>
      <c r="M50" s="75"/>
      <c r="N50" s="75"/>
      <c r="O50" s="75"/>
    </row>
    <row r="51" spans="1:15" ht="36" customHeight="1" x14ac:dyDescent="0.25">
      <c r="A51" s="115"/>
      <c r="B51" s="245"/>
      <c r="C51" s="245"/>
      <c r="D51" s="245"/>
      <c r="E51" s="245"/>
      <c r="F51" s="245"/>
      <c r="G51" s="245"/>
      <c r="H51" s="245"/>
      <c r="I51" s="245"/>
      <c r="J51" s="245"/>
      <c r="K51" s="245"/>
      <c r="L51" s="245"/>
      <c r="M51" s="245"/>
      <c r="N51" s="245"/>
      <c r="O51" s="245"/>
    </row>
    <row r="52" spans="1:15" ht="18" x14ac:dyDescent="0.25">
      <c r="A52" s="99"/>
      <c r="B52" s="75"/>
      <c r="C52" s="75"/>
      <c r="D52" s="75"/>
      <c r="E52" s="75"/>
      <c r="F52" s="75"/>
      <c r="G52" s="75"/>
      <c r="H52" s="75"/>
      <c r="I52" s="75"/>
      <c r="J52" s="75"/>
      <c r="K52" s="75"/>
      <c r="L52" s="75"/>
      <c r="M52" s="75"/>
      <c r="N52" s="75"/>
      <c r="O52" s="75"/>
    </row>
    <row r="53" spans="1:15" ht="18" x14ac:dyDescent="0.25">
      <c r="A53" s="99"/>
      <c r="B53" s="110" t="s">
        <v>160</v>
      </c>
      <c r="C53" s="75"/>
      <c r="D53" s="75"/>
      <c r="E53" s="244" t="s">
        <v>208</v>
      </c>
      <c r="F53" s="244"/>
      <c r="G53" s="75"/>
      <c r="H53" s="75"/>
      <c r="I53" s="110" t="s">
        <v>89</v>
      </c>
      <c r="J53" s="116" t="str" cm="1">
        <f t="array" aca="1" ref="J53" ca="1">INDIRECT(FE_FMEA&amp;"!Eqpt_ID")</f>
        <v>FE01</v>
      </c>
      <c r="K53" s="75"/>
      <c r="L53" s="75"/>
      <c r="M53" s="75"/>
      <c r="N53" s="75"/>
      <c r="O53" s="75"/>
    </row>
    <row r="54" spans="1:15" ht="18" x14ac:dyDescent="0.25">
      <c r="A54" s="99"/>
      <c r="B54" s="110" t="s">
        <v>154</v>
      </c>
      <c r="C54" s="75"/>
      <c r="D54" s="75"/>
      <c r="E54" s="75"/>
      <c r="F54" s="75"/>
      <c r="G54" s="75"/>
      <c r="H54" s="75"/>
      <c r="I54" s="75"/>
      <c r="J54" s="75"/>
      <c r="K54" s="75"/>
      <c r="L54" s="75"/>
      <c r="M54" s="75"/>
      <c r="N54" s="75"/>
      <c r="O54" s="75"/>
    </row>
    <row r="55" spans="1:15" ht="18" x14ac:dyDescent="0.25">
      <c r="A55" s="99"/>
      <c r="B55" s="242" t="str" cm="1">
        <f t="array" aca="1" ref="B55" ca="1">INDIRECT(FE_FMEA&amp;"!Manufacturers_and_models")</f>
        <v xml:space="preserve">Generic data </v>
      </c>
      <c r="C55" s="242"/>
      <c r="D55" s="242"/>
      <c r="E55" s="242"/>
      <c r="F55" s="242"/>
      <c r="G55" s="242"/>
      <c r="H55" s="242"/>
      <c r="I55" s="242"/>
      <c r="J55" s="242"/>
      <c r="K55" s="242"/>
      <c r="L55" s="242"/>
      <c r="M55" s="242"/>
      <c r="N55" s="242"/>
      <c r="O55" s="242"/>
    </row>
    <row r="56" spans="1:15" ht="18" x14ac:dyDescent="0.25">
      <c r="A56" s="99"/>
      <c r="B56" s="110" t="s">
        <v>52</v>
      </c>
      <c r="C56" s="75"/>
      <c r="D56" s="75"/>
      <c r="E56" s="75"/>
      <c r="F56" s="75"/>
      <c r="G56" s="75"/>
      <c r="H56" s="75"/>
      <c r="I56" s="75"/>
      <c r="J56" s="75"/>
      <c r="K56" s="75"/>
      <c r="L56" s="75"/>
      <c r="M56" s="75"/>
      <c r="N56" s="75"/>
      <c r="O56" s="75"/>
    </row>
    <row r="57" spans="1:15" ht="18" x14ac:dyDescent="0.25">
      <c r="A57" s="99"/>
      <c r="B57" s="242" t="str" cm="1">
        <f t="array" aca="1" ref="B57" ca="1">INDIRECT(FE_FMEA&amp;"!references")</f>
        <v>Quote references sources here</v>
      </c>
      <c r="C57" s="242"/>
      <c r="D57" s="242"/>
      <c r="E57" s="242"/>
      <c r="F57" s="242"/>
      <c r="G57" s="242"/>
      <c r="H57" s="242"/>
      <c r="I57" s="242"/>
      <c r="J57" s="242"/>
      <c r="K57" s="242"/>
      <c r="L57" s="242"/>
      <c r="M57" s="242"/>
      <c r="N57" s="242"/>
      <c r="O57" s="242"/>
    </row>
    <row r="58" spans="1:15" ht="18" x14ac:dyDescent="0.25">
      <c r="A58" s="99"/>
      <c r="B58" s="110" t="s">
        <v>54</v>
      </c>
      <c r="C58" s="75"/>
      <c r="D58" s="75"/>
      <c r="E58" s="75"/>
      <c r="F58" s="246" t="s">
        <v>276</v>
      </c>
      <c r="G58" s="246"/>
      <c r="H58" s="75"/>
      <c r="I58" s="75"/>
      <c r="J58" s="75"/>
      <c r="K58" s="110" t="s">
        <v>292</v>
      </c>
      <c r="L58" s="75"/>
      <c r="M58" s="75"/>
      <c r="N58" s="75"/>
      <c r="O58" s="188">
        <v>0</v>
      </c>
    </row>
    <row r="59" spans="1:15" ht="18" x14ac:dyDescent="0.25">
      <c r="A59" s="99"/>
      <c r="B59" s="242" t="str" cm="1">
        <f t="array" aca="1" ref="B59" ca="1">INDIRECT(FE_FMEA&amp;"!Suitability")</f>
        <v>Refer to either a safety manual or to a prior use analysis report</v>
      </c>
      <c r="C59" s="242"/>
      <c r="D59" s="242"/>
      <c r="E59" s="242"/>
      <c r="F59" s="242"/>
      <c r="G59" s="242"/>
      <c r="H59" s="242"/>
      <c r="I59" s="242"/>
      <c r="J59" s="242"/>
      <c r="K59" s="242"/>
      <c r="L59" s="242"/>
      <c r="M59" s="242"/>
      <c r="N59" s="242"/>
      <c r="O59" s="242"/>
    </row>
    <row r="60" spans="1:15" ht="18.75" x14ac:dyDescent="0.25">
      <c r="A60" s="75"/>
      <c r="B60" s="117" t="s">
        <v>280</v>
      </c>
      <c r="C60" s="75"/>
      <c r="D60" s="75"/>
      <c r="E60" s="75"/>
      <c r="F60" s="75"/>
      <c r="G60" s="75"/>
      <c r="H60" s="75"/>
      <c r="I60" s="75"/>
      <c r="J60" s="75"/>
      <c r="K60" s="75"/>
      <c r="L60" s="75"/>
      <c r="M60" s="75"/>
      <c r="N60" s="75"/>
      <c r="O60" s="75"/>
    </row>
    <row r="61" spans="1:15" ht="18" x14ac:dyDescent="0.25">
      <c r="A61" s="99"/>
      <c r="B61" s="110" t="s">
        <v>231</v>
      </c>
      <c r="C61" s="75"/>
      <c r="D61" s="111">
        <v>2</v>
      </c>
      <c r="E61" s="83" t="s">
        <v>332</v>
      </c>
      <c r="F61" s="111">
        <v>3</v>
      </c>
      <c r="I61" s="55" t="s">
        <v>166</v>
      </c>
      <c r="J61" s="75"/>
      <c r="K61" s="118">
        <f>FE_N-FE_M</f>
        <v>1</v>
      </c>
      <c r="L61" s="75"/>
      <c r="M61" s="75"/>
      <c r="N61" s="75"/>
      <c r="O61" s="75"/>
    </row>
    <row r="62" spans="1:15" ht="18" x14ac:dyDescent="0.25">
      <c r="A62" s="99"/>
      <c r="B62" s="110" t="s">
        <v>230</v>
      </c>
      <c r="C62" s="75"/>
      <c r="D62" s="119" cm="1">
        <f t="array" aca="1" ref="D62" ca="1">INDEX(Route1H_Tables,K62,FE_HFT+2)</f>
        <v>2</v>
      </c>
      <c r="E62" s="75"/>
      <c r="F62" s="55" t="s">
        <v>233</v>
      </c>
      <c r="G62" s="75"/>
      <c r="H62" s="118" t="str" cm="1">
        <f t="array" aca="1" ref="H62" ca="1">INDIRECT(FE_FMEA&amp;"!HFTType")</f>
        <v>Type A</v>
      </c>
      <c r="I62" s="73" t="s">
        <v>125</v>
      </c>
      <c r="J62" s="120">
        <f ca="1">VLOOKUP(SelectedFEsystem,SubSysTable,23,FALSE)</f>
        <v>0.20689655172413796</v>
      </c>
      <c r="K62" s="121">
        <f ca="1">IF(H62="Type A",MATCH(J62,SFFRange,1),MATCH(J62,SFFRange,1)+10)</f>
        <v>1</v>
      </c>
      <c r="L62" s="75"/>
      <c r="M62" s="110" t="s">
        <v>261</v>
      </c>
      <c r="N62" s="75"/>
      <c r="O62" s="187" t="s">
        <v>265</v>
      </c>
    </row>
    <row r="63" spans="1:15" ht="18" x14ac:dyDescent="0.25">
      <c r="A63" s="99"/>
      <c r="B63" s="110" t="s">
        <v>232</v>
      </c>
      <c r="C63" s="75"/>
      <c r="D63" s="119">
        <f>VLOOKUP(K61,HFTtoSIL61511,2)</f>
        <v>3</v>
      </c>
      <c r="E63" s="75"/>
      <c r="F63" s="110" t="s">
        <v>234</v>
      </c>
      <c r="G63" s="75"/>
      <c r="H63" s="75"/>
      <c r="I63" s="75"/>
      <c r="J63" s="75"/>
      <c r="K63" s="75"/>
      <c r="L63" s="75"/>
      <c r="M63" s="75"/>
      <c r="N63" s="75"/>
      <c r="O63" s="119" cm="1">
        <f t="array" ref="O63">IF(FESuitability="Evidence not available",0,INDEX(D62:D64,VLOOKUP(O62,HFT_method_index,2,FALSE)))</f>
        <v>3</v>
      </c>
    </row>
    <row r="64" spans="1:15" ht="18" x14ac:dyDescent="0.25">
      <c r="A64" s="99"/>
      <c r="B64" s="110" t="s">
        <v>235</v>
      </c>
      <c r="C64" s="75"/>
      <c r="D64" s="119">
        <f>D63</f>
        <v>3</v>
      </c>
      <c r="E64" s="75"/>
      <c r="F64" s="110" t="s">
        <v>236</v>
      </c>
      <c r="G64" s="75"/>
      <c r="H64" s="75"/>
      <c r="I64" s="75"/>
      <c r="J64" s="75"/>
      <c r="K64" s="75"/>
      <c r="L64" s="75"/>
      <c r="M64" s="75"/>
      <c r="N64" s="75"/>
      <c r="O64" s="75"/>
    </row>
    <row r="65" spans="1:15" ht="18" x14ac:dyDescent="0.3">
      <c r="A65" s="99"/>
      <c r="B65" s="110" t="s">
        <v>382</v>
      </c>
      <c r="C65" s="75"/>
      <c r="D65" s="111">
        <v>1</v>
      </c>
      <c r="E65" s="75"/>
      <c r="H65" s="110" t="s">
        <v>336</v>
      </c>
      <c r="I65" s="111">
        <v>3</v>
      </c>
      <c r="K65" s="193" t="s">
        <v>338</v>
      </c>
      <c r="L65" s="197">
        <v>0.1</v>
      </c>
      <c r="M65" s="75" t="s">
        <v>341</v>
      </c>
      <c r="N65" s="75"/>
      <c r="O65" s="75"/>
    </row>
    <row r="66" spans="1:15" ht="18" x14ac:dyDescent="0.3">
      <c r="A66" s="99"/>
      <c r="B66" s="75"/>
      <c r="C66" s="75"/>
      <c r="D66" s="75"/>
      <c r="E66" s="75"/>
      <c r="H66" s="110" t="s">
        <v>337</v>
      </c>
      <c r="I66" s="111">
        <v>3</v>
      </c>
      <c r="K66" s="193" t="s">
        <v>339</v>
      </c>
      <c r="L66" s="197">
        <v>0.1</v>
      </c>
      <c r="M66" s="75" t="s">
        <v>340</v>
      </c>
      <c r="N66" s="75"/>
      <c r="O66" s="75"/>
    </row>
    <row r="67" spans="1:15" ht="18" x14ac:dyDescent="0.25">
      <c r="A67" s="99"/>
      <c r="B67" s="75"/>
      <c r="C67" s="75"/>
      <c r="D67" s="75"/>
      <c r="E67" s="75"/>
      <c r="F67" s="75"/>
      <c r="G67" s="75"/>
      <c r="H67" s="75"/>
      <c r="I67" s="75"/>
      <c r="J67" s="75"/>
      <c r="K67" s="75"/>
      <c r="L67" s="75"/>
      <c r="M67" s="75"/>
      <c r="N67" s="75"/>
      <c r="O67" s="75"/>
    </row>
    <row r="68" spans="1:15" ht="18" x14ac:dyDescent="0.25">
      <c r="A68" s="99"/>
      <c r="B68" s="75"/>
      <c r="C68" s="75"/>
      <c r="D68" s="75"/>
      <c r="E68" s="75"/>
      <c r="F68" s="75"/>
      <c r="G68" s="75"/>
      <c r="H68" s="75"/>
      <c r="I68" s="75"/>
      <c r="J68" s="75"/>
      <c r="K68" s="123"/>
      <c r="L68" s="75"/>
      <c r="M68" s="75"/>
      <c r="N68" s="75"/>
      <c r="O68" s="75"/>
    </row>
    <row r="69" spans="1:15" ht="21" x14ac:dyDescent="0.25">
      <c r="A69" s="109" t="s">
        <v>175</v>
      </c>
      <c r="B69" s="113"/>
      <c r="C69" s="113"/>
      <c r="D69" s="113"/>
      <c r="E69" s="247" t="str">
        <f>SF_ID</f>
        <v>SF 003</v>
      </c>
      <c r="F69" s="247"/>
      <c r="G69" s="113"/>
      <c r="H69" s="113"/>
      <c r="I69" s="114" t="s">
        <v>287</v>
      </c>
      <c r="J69" s="151">
        <f>SIL_target</f>
        <v>2</v>
      </c>
      <c r="K69" s="113"/>
      <c r="L69" s="109"/>
      <c r="M69" s="114" t="s">
        <v>366</v>
      </c>
      <c r="N69" s="216">
        <f>PFH_target</f>
        <v>9.9999999999999995E-7</v>
      </c>
      <c r="O69" s="210" t="s">
        <v>367</v>
      </c>
    </row>
    <row r="70" spans="1:15" ht="21" x14ac:dyDescent="0.25">
      <c r="A70" s="75"/>
      <c r="B70" s="75"/>
      <c r="C70" s="75"/>
      <c r="D70" s="75"/>
      <c r="E70" s="75"/>
      <c r="F70" s="75"/>
      <c r="G70" s="75"/>
      <c r="H70" s="75"/>
      <c r="I70" s="114" t="s">
        <v>370</v>
      </c>
      <c r="J70" s="151">
        <f ca="1">VLOOKUP(PFH,PFHtoSIL,2,TRUE)</f>
        <v>2</v>
      </c>
      <c r="K70" s="75"/>
      <c r="L70" s="75"/>
      <c r="M70" s="114" t="s">
        <v>369</v>
      </c>
      <c r="N70" s="216">
        <f ca="1">PFH</f>
        <v>5.9999999999999997E-7</v>
      </c>
      <c r="O70" s="210" t="s">
        <v>367</v>
      </c>
    </row>
    <row r="71" spans="1:15" ht="21" x14ac:dyDescent="0.25">
      <c r="B71" s="75"/>
      <c r="C71" s="75"/>
      <c r="D71" s="75"/>
      <c r="F71" s="75"/>
      <c r="G71" s="75"/>
      <c r="H71" s="75"/>
      <c r="I71" s="114" t="s">
        <v>344</v>
      </c>
      <c r="J71" s="151">
        <f ca="1">MIN(SensorSILlimit,SolverSILlimit,FESILlimit)</f>
        <v>3</v>
      </c>
      <c r="K71" s="114"/>
      <c r="L71" s="114"/>
      <c r="M71" s="114"/>
      <c r="N71" s="114"/>
      <c r="O71" s="114"/>
    </row>
    <row r="72" spans="1:15" ht="21" x14ac:dyDescent="0.25">
      <c r="A72" s="75"/>
      <c r="B72" s="75"/>
      <c r="C72" s="75"/>
      <c r="D72" s="75"/>
      <c r="E72" s="75"/>
      <c r="F72" s="75"/>
      <c r="G72" s="75"/>
      <c r="H72" s="75"/>
      <c r="I72" s="153"/>
      <c r="J72" s="114"/>
      <c r="K72" s="114"/>
      <c r="L72" s="114"/>
      <c r="M72" s="114"/>
      <c r="N72" s="114"/>
      <c r="O72" s="114"/>
    </row>
    <row r="73" spans="1:15" ht="20.25" x14ac:dyDescent="0.3">
      <c r="A73" s="163" t="s">
        <v>281</v>
      </c>
      <c r="L73" s="109" t="s">
        <v>420</v>
      </c>
    </row>
    <row r="74" spans="1:15" ht="21" x14ac:dyDescent="0.3">
      <c r="A74" s="163"/>
      <c r="L74" s="34"/>
    </row>
    <row r="75" spans="1:15" ht="15.75" thickBot="1" x14ac:dyDescent="0.3">
      <c r="C75" s="75"/>
      <c r="D75" s="75"/>
      <c r="E75" s="75"/>
      <c r="F75" s="75"/>
      <c r="G75" s="75"/>
      <c r="H75" s="75"/>
      <c r="I75" s="75"/>
      <c r="J75" s="75"/>
      <c r="K75" s="75"/>
      <c r="L75" s="75"/>
      <c r="M75" s="75"/>
      <c r="N75" s="75"/>
      <c r="O75" s="75"/>
    </row>
    <row r="76" spans="1:15" ht="19.5" thickBot="1" x14ac:dyDescent="0.3">
      <c r="C76" s="75"/>
      <c r="D76" s="168" t="str">
        <f ca="1">SelectedSensorSystem</f>
        <v>PZHH01</v>
      </c>
      <c r="E76" s="92"/>
      <c r="F76" s="168" t="str">
        <f ca="1">SelectedSolver</f>
        <v>Solver1</v>
      </c>
      <c r="G76" s="92"/>
      <c r="H76" s="168" t="str">
        <f ca="1">SelectedFEsystem</f>
        <v>FE01</v>
      </c>
      <c r="I76" s="75"/>
      <c r="J76" s="75"/>
      <c r="K76" s="75"/>
      <c r="L76" s="75"/>
      <c r="M76" s="75"/>
      <c r="N76" s="117"/>
      <c r="O76" s="75"/>
    </row>
    <row r="77" spans="1:15" ht="18.75" x14ac:dyDescent="0.25">
      <c r="C77" s="75"/>
      <c r="D77" s="166" t="str">
        <f>SensorM&amp;"oo"&amp;SensorN</f>
        <v>1oo3</v>
      </c>
      <c r="E77" s="92"/>
      <c r="F77" s="166" t="str">
        <f>SolverM&amp;"oo"&amp;SolverN</f>
        <v>2oo3</v>
      </c>
      <c r="G77" s="92"/>
      <c r="H77" s="166" t="str">
        <f>FE_M&amp;"oo"&amp;FE_N</f>
        <v>2oo3</v>
      </c>
      <c r="I77" s="75"/>
      <c r="J77" s="75"/>
      <c r="K77" s="75"/>
      <c r="L77" s="156"/>
      <c r="M77" s="75"/>
      <c r="N77" s="117"/>
      <c r="O77" s="75"/>
    </row>
    <row r="78" spans="1:15" ht="18.75" x14ac:dyDescent="0.25">
      <c r="C78" s="75"/>
      <c r="D78" s="166"/>
      <c r="E78" s="92"/>
      <c r="F78" s="166"/>
      <c r="G78" s="92"/>
      <c r="H78" s="166"/>
      <c r="I78" s="75"/>
      <c r="J78" s="75"/>
      <c r="K78" s="75"/>
      <c r="L78" s="156"/>
      <c r="M78" s="75"/>
      <c r="N78" s="117"/>
      <c r="O78" s="75"/>
    </row>
    <row r="79" spans="1:15" ht="18.75" x14ac:dyDescent="0.3">
      <c r="A79" s="155" t="s">
        <v>372</v>
      </c>
      <c r="C79" s="75"/>
      <c r="D79" s="172">
        <f ca="1">VLOOKUP(D76,SubSysTable,2,FALSE)</f>
        <v>8.0000000000000002E-8</v>
      </c>
      <c r="E79" s="173"/>
      <c r="F79" s="172">
        <f ca="1">VLOOKUP(F76,SubSysTable,2,FALSE)</f>
        <v>7.9000000000000006E-8</v>
      </c>
      <c r="G79" s="173"/>
      <c r="H79" s="172">
        <f ca="1">VLOOKUP(H76,SubSysTable,2,FALSE)</f>
        <v>4.8999999999999997E-7</v>
      </c>
      <c r="I79" s="167"/>
      <c r="J79" s="75"/>
      <c r="K79" s="75"/>
      <c r="L79" s="164" t="s">
        <v>383</v>
      </c>
      <c r="M79" s="152"/>
      <c r="N79" s="171">
        <f ca="1">ROUND(SUM(SubSystemPFHs),D90-1-INT(LOG10(SUM(SubSystemPFHs))))</f>
        <v>5.9999999999999997E-7</v>
      </c>
      <c r="O79" s="156" t="s">
        <v>367</v>
      </c>
    </row>
    <row r="80" spans="1:15" ht="18.75" x14ac:dyDescent="0.25">
      <c r="A80" s="152"/>
      <c r="C80" s="75"/>
      <c r="D80" s="174"/>
      <c r="E80" s="174"/>
      <c r="F80" s="174"/>
      <c r="G80" s="174"/>
      <c r="H80" s="174"/>
      <c r="I80" s="167"/>
      <c r="J80" s="75"/>
      <c r="K80" s="75"/>
      <c r="L80" s="156"/>
      <c r="M80" s="75"/>
      <c r="N80" s="117"/>
      <c r="O80" s="75"/>
    </row>
    <row r="81" spans="1:15" ht="18.75" x14ac:dyDescent="0.25">
      <c r="A81" s="152"/>
      <c r="C81" s="75"/>
      <c r="D81" s="174"/>
      <c r="E81" s="174"/>
      <c r="F81" s="174"/>
      <c r="G81" s="174"/>
      <c r="H81" s="174"/>
      <c r="I81" s="167"/>
      <c r="J81" s="75"/>
      <c r="K81" s="75"/>
      <c r="L81" s="156"/>
      <c r="M81" s="75"/>
      <c r="N81" s="117"/>
      <c r="O81" s="75"/>
    </row>
    <row r="82" spans="1:15" ht="18.75" x14ac:dyDescent="0.25">
      <c r="D82" s="223"/>
      <c r="E82" s="160"/>
      <c r="F82" s="223"/>
      <c r="G82" s="160"/>
      <c r="H82" s="223"/>
      <c r="I82" s="161"/>
      <c r="J82" s="75"/>
      <c r="K82" s="75"/>
      <c r="L82" s="154"/>
      <c r="M82" s="75"/>
      <c r="N82" s="64"/>
      <c r="O82" s="75"/>
    </row>
    <row r="83" spans="1:15" s="75" customFormat="1" ht="47.25" x14ac:dyDescent="0.25">
      <c r="A83" s="159" t="s">
        <v>290</v>
      </c>
      <c r="D83" s="202" t="str">
        <f>SensorSuitability</f>
        <v>IEC 61508 safety manual</v>
      </c>
      <c r="E83" s="160"/>
      <c r="F83" s="202" t="str">
        <f>SolverSuitability</f>
        <v>IEC 61508 safety manual</v>
      </c>
      <c r="G83" s="160"/>
      <c r="H83" s="202" t="str">
        <f>FESuitability</f>
        <v>Other safety manual</v>
      </c>
      <c r="I83" s="161"/>
      <c r="L83" s="154"/>
      <c r="N83" s="64"/>
    </row>
    <row r="84" spans="1:15" ht="18.75" x14ac:dyDescent="0.25">
      <c r="D84" s="101"/>
      <c r="E84" s="167"/>
      <c r="F84" s="160"/>
      <c r="G84" s="167"/>
      <c r="H84" s="160"/>
      <c r="I84" s="161"/>
      <c r="J84" s="75"/>
      <c r="K84" s="75"/>
      <c r="L84" s="154"/>
      <c r="M84" s="75"/>
      <c r="N84" s="64"/>
      <c r="O84" s="75"/>
    </row>
    <row r="85" spans="1:15" ht="15.75" x14ac:dyDescent="0.25">
      <c r="A85" s="159" t="s">
        <v>267</v>
      </c>
      <c r="B85" s="75"/>
      <c r="C85" s="75"/>
      <c r="D85" s="162">
        <f>IF(SensorSuitability="Evidence not available","Need evidence",SensorSILlimit)</f>
        <v>4</v>
      </c>
      <c r="E85" s="167"/>
      <c r="F85" s="162">
        <f ca="1">IF(SolverSuitability="Evidence not available","Need evidence",SolverSILlimit)</f>
        <v>3</v>
      </c>
      <c r="G85" s="167"/>
      <c r="H85" s="162">
        <f>IF(FESuitability="Evidence not available","Need evidence",FESILlimit)</f>
        <v>3</v>
      </c>
      <c r="I85" s="167"/>
      <c r="J85" s="75"/>
      <c r="K85" s="75"/>
      <c r="L85" s="75"/>
      <c r="M85" s="75"/>
      <c r="N85" s="64"/>
      <c r="O85" s="75"/>
    </row>
    <row r="86" spans="1:15" ht="15.75" x14ac:dyDescent="0.25">
      <c r="A86" s="159"/>
      <c r="B86" s="75"/>
      <c r="C86" s="75"/>
      <c r="D86" s="167"/>
      <c r="E86" s="167"/>
      <c r="F86" s="167"/>
      <c r="G86" s="167"/>
      <c r="H86" s="167"/>
      <c r="I86" s="167"/>
      <c r="J86" s="75"/>
      <c r="K86" s="75"/>
      <c r="L86" s="75"/>
      <c r="M86" s="75"/>
      <c r="N86" s="75"/>
      <c r="O86" s="75"/>
    </row>
    <row r="87" spans="1:15" ht="15.75" x14ac:dyDescent="0.25">
      <c r="A87" s="159" t="s">
        <v>294</v>
      </c>
      <c r="B87" s="75"/>
      <c r="C87" s="75"/>
      <c r="D87" s="176">
        <f>IF(SensorSuitability="Evidence not available","Need evidence",SensorSC)</f>
        <v>1</v>
      </c>
      <c r="E87" s="167"/>
      <c r="F87" s="176">
        <f>IF(SolverSuitability="Evidence not available","Need evidence",SolverSC)</f>
        <v>3</v>
      </c>
      <c r="G87" s="167"/>
      <c r="H87" s="176">
        <f>IF(FESuitability="Evidence not available","Need evidence",FESC)</f>
        <v>0</v>
      </c>
      <c r="I87" s="167"/>
      <c r="J87" s="75"/>
      <c r="K87" s="75"/>
      <c r="L87" s="75"/>
      <c r="M87" s="75"/>
      <c r="N87" s="75"/>
      <c r="O87" s="75"/>
    </row>
    <row r="88" spans="1:15" ht="18.75" x14ac:dyDescent="0.25">
      <c r="D88" s="101"/>
      <c r="E88" s="160"/>
      <c r="F88" s="149"/>
      <c r="G88" s="149"/>
      <c r="H88" s="149"/>
      <c r="I88" s="148"/>
      <c r="J88" s="75"/>
      <c r="K88" s="75"/>
      <c r="L88" s="75"/>
      <c r="M88" s="75"/>
      <c r="N88" s="75"/>
      <c r="O88" s="75"/>
    </row>
    <row r="89" spans="1:15" ht="15.75" x14ac:dyDescent="0.25">
      <c r="A89" s="159" t="s">
        <v>217</v>
      </c>
      <c r="B89" s="75"/>
      <c r="C89" s="75"/>
      <c r="D89" s="189">
        <v>1</v>
      </c>
      <c r="E89" s="159" t="s">
        <v>270</v>
      </c>
      <c r="F89" s="75"/>
      <c r="G89" s="75"/>
      <c r="H89" s="75"/>
      <c r="I89" s="75"/>
      <c r="J89" s="75"/>
      <c r="K89" s="75"/>
      <c r="L89" s="75"/>
      <c r="M89" s="224" t="s">
        <v>180</v>
      </c>
      <c r="N89" s="75" t="s">
        <v>423</v>
      </c>
      <c r="O89" s="75"/>
    </row>
    <row r="90" spans="1:15" ht="15.75" x14ac:dyDescent="0.25">
      <c r="A90" s="158" t="s">
        <v>289</v>
      </c>
      <c r="B90" s="101"/>
      <c r="D90" s="190">
        <v>1</v>
      </c>
      <c r="E90" s="158" t="s">
        <v>36</v>
      </c>
      <c r="J90" s="158"/>
      <c r="K90" s="101"/>
      <c r="M90" s="224" t="s">
        <v>286</v>
      </c>
      <c r="N90" s="75" t="s">
        <v>423</v>
      </c>
    </row>
    <row r="91" spans="1:15" ht="15.75" x14ac:dyDescent="0.25">
      <c r="A91" s="159"/>
      <c r="B91" s="75"/>
      <c r="C91" s="75"/>
      <c r="D91" s="159"/>
      <c r="E91" s="159"/>
      <c r="F91" s="75"/>
      <c r="G91" s="75"/>
      <c r="H91" s="75"/>
      <c r="I91" s="75"/>
      <c r="J91" s="75"/>
      <c r="K91" s="75"/>
      <c r="L91" s="75"/>
      <c r="M91" s="75"/>
      <c r="N91" s="75"/>
      <c r="O91" s="75"/>
    </row>
    <row r="92" spans="1:15" x14ac:dyDescent="0.25">
      <c r="I92" s="75"/>
      <c r="J92" s="75"/>
      <c r="K92" s="75"/>
      <c r="L92" s="75"/>
      <c r="M92" s="75"/>
      <c r="N92" s="75"/>
      <c r="O92" s="75"/>
    </row>
    <row r="93" spans="1:15" x14ac:dyDescent="0.25">
      <c r="I93" s="75"/>
      <c r="J93" s="75"/>
      <c r="K93" s="75"/>
      <c r="L93" s="75"/>
      <c r="M93" s="75"/>
      <c r="N93" s="75"/>
      <c r="O93" s="75"/>
    </row>
    <row r="94" spans="1:15" x14ac:dyDescent="0.25">
      <c r="I94" s="75"/>
      <c r="J94" s="75"/>
      <c r="K94" s="75"/>
      <c r="L94" s="75"/>
      <c r="M94" s="75"/>
      <c r="N94" s="75"/>
      <c r="O94" s="75"/>
    </row>
    <row r="95" spans="1:15" ht="28.5" x14ac:dyDescent="0.25">
      <c r="A95" s="122"/>
      <c r="B95" s="75"/>
      <c r="C95" s="75"/>
      <c r="D95" s="13" t="s">
        <v>381</v>
      </c>
      <c r="E95" s="75"/>
      <c r="I95" s="75"/>
      <c r="J95" s="75"/>
      <c r="K95" s="75"/>
      <c r="L95" s="75"/>
      <c r="M95" s="75"/>
      <c r="N95" s="75"/>
      <c r="O95" s="75"/>
    </row>
    <row r="96" spans="1:15" ht="15.75" x14ac:dyDescent="0.25">
      <c r="A96" s="165" t="s">
        <v>218</v>
      </c>
      <c r="B96" s="75"/>
      <c r="C96" s="75"/>
      <c r="D96" s="213">
        <f ca="1">ROUND(PFH/UncertaintyFactor,D90-1-INT(LOG10(PFH/UncertaintyFactor)))</f>
        <v>1.9999999999999999E-7</v>
      </c>
      <c r="E96" s="75"/>
      <c r="G96" s="75"/>
      <c r="H96" s="64"/>
      <c r="I96" s="64"/>
      <c r="J96" s="75"/>
      <c r="K96" s="75"/>
      <c r="L96" s="75"/>
      <c r="M96" s="75"/>
      <c r="N96" s="75"/>
      <c r="O96" s="75"/>
    </row>
    <row r="97" spans="1:15" ht="18.75" x14ac:dyDescent="0.25">
      <c r="A97" s="165" t="s">
        <v>288</v>
      </c>
      <c r="B97" s="75"/>
      <c r="C97" s="75"/>
      <c r="D97" s="214">
        <f ca="1">ROUND(SUM(SubSystemPFHs),D90-1-INT(LOG10(SUM(SubSystemPFHs))))</f>
        <v>5.9999999999999997E-7</v>
      </c>
      <c r="E97" s="75"/>
      <c r="G97" s="75"/>
      <c r="H97" s="75"/>
      <c r="I97" s="75"/>
      <c r="J97" s="75"/>
      <c r="K97" s="75"/>
      <c r="L97" s="75"/>
      <c r="M97" s="75"/>
      <c r="N97" s="75"/>
      <c r="O97" s="75"/>
    </row>
    <row r="98" spans="1:15" ht="15.75" x14ac:dyDescent="0.25">
      <c r="A98" s="165" t="s">
        <v>219</v>
      </c>
      <c r="B98" s="75"/>
      <c r="C98" s="75"/>
      <c r="D98" s="213">
        <f ca="1">ROUND(UncertaintyFactor*PFH,D90-1-INT(LOG10(UncertaintyFactor*PFH)))</f>
        <v>1.9999999999999999E-6</v>
      </c>
      <c r="E98" s="75"/>
      <c r="I98" s="125" t="s">
        <v>228</v>
      </c>
      <c r="J98" s="124"/>
      <c r="K98" s="124"/>
      <c r="L98" s="126" t="s">
        <v>343</v>
      </c>
      <c r="M98" s="209">
        <f>SQRT(10^UncertaintyOrder)</f>
        <v>3.1622776601683795</v>
      </c>
      <c r="N98" s="124"/>
      <c r="O98" s="75"/>
    </row>
    <row r="99" spans="1:15" x14ac:dyDescent="0.25">
      <c r="A99" s="75"/>
      <c r="B99" s="75"/>
      <c r="C99" s="75"/>
      <c r="D99" s="75"/>
      <c r="I99" s="126" t="s">
        <v>222</v>
      </c>
      <c r="J99" s="126" t="s">
        <v>227</v>
      </c>
      <c r="K99" s="126" t="s">
        <v>223</v>
      </c>
      <c r="L99" s="124"/>
      <c r="M99" s="127" t="s">
        <v>379</v>
      </c>
      <c r="N99" s="127" t="s">
        <v>380</v>
      </c>
      <c r="O99" s="75"/>
    </row>
    <row r="100" spans="1:15" x14ac:dyDescent="0.25">
      <c r="A100" s="75"/>
      <c r="B100" s="75"/>
      <c r="C100" s="75"/>
      <c r="D100" s="75"/>
      <c r="I100" s="128">
        <f ca="1">D96</f>
        <v>1.9999999999999999E-7</v>
      </c>
      <c r="J100" s="124">
        <f ca="1">PFH</f>
        <v>5.9999999999999997E-7</v>
      </c>
      <c r="K100" s="128">
        <f ca="1">D98</f>
        <v>1.9999999999999999E-6</v>
      </c>
      <c r="L100" s="124"/>
      <c r="M100" s="124">
        <f>PFH_target</f>
        <v>9.9999999999999995E-7</v>
      </c>
      <c r="N100" s="124">
        <f ca="1">J100</f>
        <v>5.9999999999999997E-7</v>
      </c>
    </row>
    <row r="101" spans="1:15" x14ac:dyDescent="0.25">
      <c r="A101" s="75"/>
      <c r="B101" s="75"/>
      <c r="C101" s="75"/>
      <c r="D101" s="75"/>
      <c r="I101" s="124">
        <f ca="1">I100</f>
        <v>1.9999999999999999E-7</v>
      </c>
      <c r="J101" s="124">
        <f ca="1">J100</f>
        <v>5.9999999999999997E-7</v>
      </c>
      <c r="K101" s="124">
        <f ca="1">K100</f>
        <v>1.9999999999999999E-6</v>
      </c>
      <c r="L101" s="124"/>
      <c r="M101" s="124">
        <f>PFH_target</f>
        <v>9.9999999999999995E-7</v>
      </c>
      <c r="N101" s="124">
        <f ca="1">J101</f>
        <v>5.9999999999999997E-7</v>
      </c>
    </row>
    <row r="102" spans="1:15" x14ac:dyDescent="0.25">
      <c r="A102" s="75"/>
      <c r="B102" s="75"/>
      <c r="C102" s="75"/>
      <c r="D102" s="75"/>
      <c r="E102" s="75"/>
      <c r="F102" s="75"/>
      <c r="G102" s="75" t="s">
        <v>402</v>
      </c>
      <c r="H102" s="222">
        <f ca="1">D79/N79</f>
        <v>0.13333333333333333</v>
      </c>
      <c r="I102" s="75"/>
      <c r="J102" s="75"/>
      <c r="K102" s="75"/>
      <c r="L102" s="75"/>
      <c r="M102" s="75"/>
      <c r="N102" s="75"/>
      <c r="O102" s="75"/>
    </row>
    <row r="103" spans="1:15" x14ac:dyDescent="0.25">
      <c r="A103" s="75"/>
      <c r="B103" s="75"/>
      <c r="C103" s="75"/>
      <c r="D103" s="75"/>
      <c r="E103" s="75"/>
      <c r="F103" s="75"/>
      <c r="G103" s="75" t="s">
        <v>403</v>
      </c>
      <c r="H103" s="222">
        <f ca="1">F79/N79</f>
        <v>0.13166666666666668</v>
      </c>
      <c r="I103" s="75"/>
      <c r="J103" s="75"/>
      <c r="K103" s="75"/>
      <c r="L103" s="75"/>
      <c r="M103" s="75"/>
      <c r="N103" s="75"/>
      <c r="O103" s="75"/>
    </row>
    <row r="104" spans="1:15" x14ac:dyDescent="0.25">
      <c r="A104" s="75"/>
      <c r="B104" s="75"/>
      <c r="C104" s="75"/>
      <c r="D104" s="75"/>
      <c r="E104" s="75"/>
      <c r="F104" s="75"/>
      <c r="G104" s="75" t="s">
        <v>404</v>
      </c>
      <c r="H104" s="222">
        <f ca="1">H79/N79</f>
        <v>0.81666666666666665</v>
      </c>
      <c r="I104" s="75"/>
      <c r="J104" s="75"/>
      <c r="K104" s="75"/>
      <c r="L104" s="75"/>
      <c r="M104" s="75"/>
      <c r="N104" s="75"/>
      <c r="O104" s="75"/>
    </row>
    <row r="105" spans="1:15" x14ac:dyDescent="0.25">
      <c r="A105" s="75"/>
      <c r="B105" s="75"/>
      <c r="C105" s="75"/>
      <c r="D105" s="75"/>
      <c r="E105" s="75"/>
      <c r="F105" s="75"/>
      <c r="G105" s="75"/>
      <c r="H105" s="75"/>
      <c r="I105" s="75"/>
      <c r="J105" s="75"/>
      <c r="K105" s="75"/>
      <c r="L105" s="75"/>
      <c r="M105" s="75"/>
      <c r="N105" s="75"/>
      <c r="O105" s="75"/>
    </row>
    <row r="106" spans="1:15" x14ac:dyDescent="0.25">
      <c r="A106" s="75"/>
      <c r="B106" s="75"/>
      <c r="C106" s="75"/>
      <c r="D106" s="75"/>
      <c r="E106" s="75"/>
      <c r="F106" s="75"/>
      <c r="G106" s="75"/>
      <c r="H106" s="75"/>
      <c r="I106" s="75"/>
      <c r="J106" s="75"/>
      <c r="K106" s="75"/>
      <c r="L106" s="75"/>
      <c r="M106" s="75"/>
      <c r="N106" s="75"/>
      <c r="O106" s="75"/>
    </row>
    <row r="107" spans="1:15" x14ac:dyDescent="0.25">
      <c r="A107" s="75"/>
      <c r="B107" s="75"/>
      <c r="C107" s="75"/>
      <c r="D107" s="75"/>
      <c r="E107" s="75"/>
      <c r="F107" s="75"/>
      <c r="G107" s="75"/>
      <c r="H107" s="75"/>
      <c r="I107" s="75"/>
      <c r="J107" s="75"/>
      <c r="K107" s="75"/>
      <c r="L107" s="75"/>
      <c r="M107" s="75"/>
      <c r="N107" s="75"/>
      <c r="O107" s="75"/>
    </row>
    <row r="108" spans="1:15" x14ac:dyDescent="0.25">
      <c r="A108" s="75"/>
      <c r="B108" s="75"/>
      <c r="C108" s="75"/>
      <c r="D108" s="75"/>
      <c r="E108" s="75"/>
      <c r="F108" s="75"/>
      <c r="G108" s="75"/>
      <c r="H108" s="75"/>
      <c r="I108" s="75"/>
      <c r="J108" s="75"/>
      <c r="K108" s="75"/>
      <c r="L108" s="75"/>
      <c r="M108" s="75"/>
      <c r="N108" s="75"/>
      <c r="O108" s="75"/>
    </row>
    <row r="109" spans="1:15" x14ac:dyDescent="0.25">
      <c r="A109" s="75"/>
      <c r="B109" s="75"/>
      <c r="C109" s="75"/>
      <c r="D109" s="75"/>
      <c r="E109" s="75"/>
      <c r="F109" s="75"/>
      <c r="G109" s="75"/>
      <c r="H109" s="75"/>
      <c r="I109" s="75"/>
      <c r="J109" s="75"/>
      <c r="K109" s="75"/>
      <c r="L109" s="75"/>
      <c r="M109" s="75"/>
      <c r="N109" s="75"/>
      <c r="O109" s="75"/>
    </row>
    <row r="110" spans="1:15" x14ac:dyDescent="0.25">
      <c r="A110" s="75"/>
      <c r="B110" s="75"/>
      <c r="C110" s="75"/>
      <c r="D110" s="75"/>
      <c r="E110" s="75"/>
      <c r="F110" s="75"/>
      <c r="G110" s="75"/>
      <c r="H110" s="75"/>
      <c r="I110" s="75"/>
      <c r="J110" s="75"/>
      <c r="K110" s="75"/>
      <c r="L110" s="75"/>
      <c r="M110" s="75"/>
      <c r="N110" s="75"/>
      <c r="O110" s="75"/>
    </row>
    <row r="111" spans="1:15" x14ac:dyDescent="0.25">
      <c r="A111" s="75"/>
      <c r="B111" s="75"/>
      <c r="C111" s="75"/>
      <c r="D111" s="75"/>
      <c r="E111" s="75"/>
      <c r="F111" s="75"/>
      <c r="G111" s="75"/>
      <c r="H111" s="75"/>
      <c r="I111" s="75"/>
      <c r="J111" s="75"/>
      <c r="K111" s="75"/>
      <c r="L111" s="75"/>
      <c r="M111" s="75"/>
      <c r="N111" s="75"/>
      <c r="O111" s="75"/>
    </row>
    <row r="112" spans="1:15" ht="18.75" x14ac:dyDescent="0.25">
      <c r="E112" s="149"/>
      <c r="F112" s="149"/>
      <c r="G112" s="149"/>
      <c r="H112" s="149"/>
      <c r="I112" s="148"/>
      <c r="J112" s="75"/>
      <c r="K112" s="75"/>
      <c r="L112" s="75"/>
      <c r="M112" s="75"/>
      <c r="N112" s="75"/>
      <c r="O112" s="75"/>
    </row>
    <row r="113" spans="1:42" x14ac:dyDescent="0.25">
      <c r="N113" s="75"/>
      <c r="O113" s="75"/>
    </row>
    <row r="114" spans="1:42" x14ac:dyDescent="0.25">
      <c r="N114" s="75"/>
      <c r="O114" s="75"/>
    </row>
    <row r="115" spans="1:42" x14ac:dyDescent="0.25">
      <c r="N115" s="75"/>
      <c r="O115" s="75"/>
    </row>
    <row r="116" spans="1:42" x14ac:dyDescent="0.25">
      <c r="N116" s="75"/>
      <c r="O116" s="75"/>
    </row>
    <row r="117" spans="1:42" x14ac:dyDescent="0.25">
      <c r="N117" s="75"/>
      <c r="O117" s="75"/>
    </row>
    <row r="118" spans="1:42" ht="69" customHeight="1" x14ac:dyDescent="0.25">
      <c r="B118" s="34"/>
    </row>
    <row r="119" spans="1:42" x14ac:dyDescent="0.25">
      <c r="A119" s="8"/>
    </row>
    <row r="120" spans="1:42" ht="21" x14ac:dyDescent="0.25">
      <c r="A120" s="34" t="s">
        <v>371</v>
      </c>
    </row>
    <row r="121" spans="1:42" x14ac:dyDescent="0.25">
      <c r="A121" s="14"/>
    </row>
    <row r="122" spans="1:42" x14ac:dyDescent="0.25">
      <c r="A122" s="14"/>
      <c r="E122" s="14"/>
      <c r="L122" s="14"/>
    </row>
    <row r="123" spans="1:42" x14ac:dyDescent="0.25">
      <c r="A123" s="100" t="s">
        <v>214</v>
      </c>
      <c r="B123" s="26">
        <v>2</v>
      </c>
      <c r="C123" t="s">
        <v>36</v>
      </c>
      <c r="O123" s="10"/>
    </row>
    <row r="124" spans="1:42" x14ac:dyDescent="0.25">
      <c r="O124" s="7"/>
    </row>
    <row r="125" spans="1:42" x14ac:dyDescent="0.25">
      <c r="A125" s="94">
        <v>1</v>
      </c>
      <c r="B125" s="94">
        <v>2</v>
      </c>
      <c r="C125" s="94">
        <v>3</v>
      </c>
      <c r="D125" s="94">
        <v>4</v>
      </c>
      <c r="E125" s="94">
        <v>5</v>
      </c>
      <c r="F125" s="94">
        <v>6</v>
      </c>
      <c r="G125" s="94">
        <v>7</v>
      </c>
      <c r="H125" s="94">
        <v>8</v>
      </c>
      <c r="I125" s="94">
        <v>9</v>
      </c>
      <c r="J125" s="94">
        <v>10</v>
      </c>
      <c r="K125" s="94">
        <v>11</v>
      </c>
      <c r="L125" s="94">
        <v>12</v>
      </c>
      <c r="M125" s="94">
        <v>13</v>
      </c>
      <c r="N125" s="94">
        <v>14</v>
      </c>
      <c r="O125" s="94">
        <v>15</v>
      </c>
      <c r="P125" s="94">
        <v>16</v>
      </c>
      <c r="Q125" s="94">
        <v>17</v>
      </c>
      <c r="R125" s="94">
        <v>18</v>
      </c>
      <c r="S125" s="94">
        <v>19</v>
      </c>
      <c r="T125" s="94">
        <v>20</v>
      </c>
      <c r="U125" s="94">
        <v>21</v>
      </c>
      <c r="V125" s="94">
        <v>22</v>
      </c>
      <c r="W125" s="94">
        <v>23</v>
      </c>
      <c r="X125" s="94">
        <v>24</v>
      </c>
      <c r="Y125" s="94">
        <v>25</v>
      </c>
      <c r="Z125" s="94">
        <v>26</v>
      </c>
      <c r="AA125" s="94">
        <v>27</v>
      </c>
      <c r="AB125" s="94">
        <v>28</v>
      </c>
      <c r="AC125" s="94">
        <v>29</v>
      </c>
      <c r="AD125" s="94">
        <v>30</v>
      </c>
      <c r="AE125" s="94">
        <v>31</v>
      </c>
      <c r="AF125" s="94">
        <v>32</v>
      </c>
      <c r="AG125" s="94">
        <v>33</v>
      </c>
    </row>
    <row r="126" spans="1:42" x14ac:dyDescent="0.25">
      <c r="C126" s="3"/>
      <c r="G126" s="14"/>
      <c r="H126" s="84"/>
      <c r="I126" s="84"/>
      <c r="N126" s="14" t="s">
        <v>37</v>
      </c>
      <c r="P126" s="14" t="s">
        <v>38</v>
      </c>
      <c r="T126" s="55"/>
    </row>
    <row r="127" spans="1:42" ht="48.75" customHeight="1" x14ac:dyDescent="0.3">
      <c r="A127" s="41" t="s">
        <v>55</v>
      </c>
      <c r="B127" s="12" t="s">
        <v>372</v>
      </c>
      <c r="C127" s="3"/>
      <c r="D127" s="41" t="s">
        <v>127</v>
      </c>
      <c r="E127" s="16" t="s">
        <v>3</v>
      </c>
      <c r="F127" s="16" t="s">
        <v>4</v>
      </c>
      <c r="G127" s="16" t="s">
        <v>6</v>
      </c>
      <c r="H127" s="27" t="s">
        <v>143</v>
      </c>
      <c r="I127" s="27"/>
      <c r="J127" s="27" t="s">
        <v>139</v>
      </c>
      <c r="K127" s="27" t="s">
        <v>141</v>
      </c>
      <c r="L127" s="27" t="s">
        <v>377</v>
      </c>
      <c r="M127" s="27" t="s">
        <v>378</v>
      </c>
      <c r="N127" s="2" t="s">
        <v>1</v>
      </c>
      <c r="O127" s="2" t="s">
        <v>2</v>
      </c>
      <c r="P127" s="28" t="s">
        <v>39</v>
      </c>
      <c r="Q127" s="28" t="s">
        <v>40</v>
      </c>
      <c r="R127" s="27" t="s">
        <v>136</v>
      </c>
      <c r="S127" s="27" t="s">
        <v>374</v>
      </c>
      <c r="T127" s="27" t="s">
        <v>138</v>
      </c>
      <c r="U127" s="27" t="s">
        <v>375</v>
      </c>
      <c r="V127" s="2" t="s">
        <v>34</v>
      </c>
      <c r="W127" s="2" t="s">
        <v>125</v>
      </c>
      <c r="X127" s="27"/>
      <c r="Y127" s="27" t="s">
        <v>376</v>
      </c>
      <c r="Z127" s="27" t="s">
        <v>191</v>
      </c>
      <c r="AA127" s="27" t="s">
        <v>385</v>
      </c>
      <c r="AC127" s="225" t="s">
        <v>425</v>
      </c>
      <c r="AD127" s="17" t="s">
        <v>373</v>
      </c>
      <c r="AE127" s="17" t="s">
        <v>424</v>
      </c>
      <c r="AF127" s="18" t="s">
        <v>372</v>
      </c>
      <c r="AG127" s="17"/>
      <c r="AH127" s="18"/>
      <c r="AM127" s="17"/>
      <c r="AN127" s="18"/>
      <c r="AP127" s="27"/>
    </row>
    <row r="128" spans="1:42" x14ac:dyDescent="0.25">
      <c r="A128" s="191" t="str">
        <f ca="1">SelectedSensorSystem</f>
        <v>PZHH01</v>
      </c>
      <c r="B128" s="35">
        <f ca="1">ROUND(AF128,SigFigs-1-INT(LOG10(AF128)))</f>
        <v>8.0000000000000002E-8</v>
      </c>
      <c r="C128" s="3"/>
      <c r="D128" s="192" t="str">
        <f>SensorFMEA</f>
        <v>FMEA_1</v>
      </c>
      <c r="E128" s="192">
        <f>SensorM</f>
        <v>1</v>
      </c>
      <c r="F128" s="192">
        <f>SensorN</f>
        <v>3</v>
      </c>
      <c r="G128" s="3" t="str" cm="1">
        <f t="array" ref="G128:G130">M&amp;"oo"&amp;N</f>
        <v>1oo3</v>
      </c>
      <c r="H128" s="192">
        <f>SensorT1</f>
        <v>1</v>
      </c>
      <c r="I128" s="27"/>
      <c r="J128" s="192">
        <f>SensorMTTR</f>
        <v>3</v>
      </c>
      <c r="K128" s="192">
        <f>SensorMRT</f>
        <v>3</v>
      </c>
      <c r="L128" s="60">
        <f>J128*24</f>
        <v>72</v>
      </c>
      <c r="M128" s="60">
        <f>K128*24</f>
        <v>72</v>
      </c>
      <c r="N128" s="192">
        <f>SensorB</f>
        <v>0.1</v>
      </c>
      <c r="O128" s="192">
        <f>SensorBD</f>
        <v>0.1</v>
      </c>
      <c r="P128" cm="1">
        <f t="array" ref="P128:P130">INDEX(βmultipliers,M,N)* β</f>
        <v>0.05</v>
      </c>
      <c r="Q128" cm="1">
        <f t="array" ref="Q128:Q130">INDEX(βmultipliers,M,N)* βD</f>
        <v>0.05</v>
      </c>
      <c r="R128" s="70" cm="1">
        <f t="array" aca="1" ref="R128" ca="1">INDIRECT($D128&amp;"!λDU")</f>
        <v>390</v>
      </c>
      <c r="S128" s="62">
        <f ca="1">R128*10^-9</f>
        <v>3.9000000000000002E-7</v>
      </c>
      <c r="T128" s="70" cm="1">
        <f t="array" aca="1" ref="T128" ca="1">INDIRECT($D128&amp;"!λDD")</f>
        <v>1200</v>
      </c>
      <c r="U128" s="62">
        <f ca="1">T128*10^-9</f>
        <v>1.2000000000000002E-6</v>
      </c>
      <c r="V128" s="24" cm="1">
        <f t="array" aca="1" ref="V128:V130" ca="1">λDD/(λDD+λDU)</f>
        <v>0.75471698113207542</v>
      </c>
      <c r="W128" s="24" cm="1">
        <f t="array" aca="1" ref="W128:W130" ca="1">(λSU+λDD)/(λSU+λDD+λDU)</f>
        <v>0.80975609756097555</v>
      </c>
      <c r="X128" s="70"/>
      <c r="Y128" s="62" cm="1">
        <f t="array" aca="1" ref="Y128:Y130" ca="1">λDU+λDD</f>
        <v>1.5900000000000002E-6</v>
      </c>
      <c r="Z128" s="70" cm="1">
        <f t="array" aca="1" ref="Z128" ca="1">INDIRECT($D128&amp;"!λsu")</f>
        <v>460</v>
      </c>
      <c r="AA128" s="62">
        <f ca="1">MTBFS*10^-9</f>
        <v>4.6000000000000004E-7</v>
      </c>
      <c r="AB128" cm="1">
        <f t="array" ref="AB128:AB130">(FACT(N)/FACT(M-1))</f>
        <v>6</v>
      </c>
      <c r="AC128" s="49" cm="1">
        <f t="array" aca="1" ref="AC128:AC130" ca="1">(((1-PFHβD)*λDD*MTTR)+((1-PFHβ)*λDU*(T_1/2*8760+MRT)))</f>
        <v>1.731546E-3</v>
      </c>
      <c r="AD128" s="35" cm="1">
        <f t="array" aca="1" ref="AD128:AD130" ca="1">PFHβ*λDU+PFHβD*λDD</f>
        <v>7.9500000000000017E-8</v>
      </c>
      <c r="AE128" s="35" cm="1">
        <f t="array" aca="1" ref="AE128:AE130" ca="1">(FACT(N)/FACT(M-1))*λDU*MDT1oo2^(N-M)</f>
        <v>7.0159086272714409E-12</v>
      </c>
      <c r="AF128" s="211">
        <f ca="1">SUM(AD128:AE128)</f>
        <v>7.9507015908627291E-8</v>
      </c>
      <c r="AG128" s="49"/>
      <c r="AH128" s="18"/>
      <c r="AN128" s="211"/>
      <c r="AP128" s="60"/>
    </row>
    <row r="129" spans="1:42" x14ac:dyDescent="0.25">
      <c r="A129" s="191" t="s">
        <v>333</v>
      </c>
      <c r="B129" s="35">
        <f ca="1">ROUND(AF129,SigFigs-1-INT(LOG10(AF129)))</f>
        <v>7.9000000000000006E-8</v>
      </c>
      <c r="C129" s="3"/>
      <c r="D129" s="192" t="str">
        <f>SolverFMEA</f>
        <v>FMEA_2</v>
      </c>
      <c r="E129" s="192">
        <f>SolverM</f>
        <v>2</v>
      </c>
      <c r="F129" s="192">
        <f>SolverN</f>
        <v>3</v>
      </c>
      <c r="G129" s="3" t="str">
        <v>2oo3</v>
      </c>
      <c r="H129" s="192">
        <f>SolverT1</f>
        <v>1</v>
      </c>
      <c r="I129" s="27"/>
      <c r="J129" s="192">
        <f>SolverMTTR</f>
        <v>3</v>
      </c>
      <c r="K129" s="192">
        <f>SolverMRT</f>
        <v>3</v>
      </c>
      <c r="L129" s="60">
        <f t="shared" ref="L129:M130" si="0">J129*24</f>
        <v>72</v>
      </c>
      <c r="M129" s="60">
        <f t="shared" si="0"/>
        <v>72</v>
      </c>
      <c r="N129" s="192">
        <f>SolverB</f>
        <v>0.05</v>
      </c>
      <c r="O129" s="192">
        <f>SolverBD</f>
        <v>0.05</v>
      </c>
      <c r="P129">
        <v>7.5000000000000011E-2</v>
      </c>
      <c r="Q129">
        <v>7.5000000000000011E-2</v>
      </c>
      <c r="R129" s="70" cm="1">
        <f t="array" aca="1" ref="R129" ca="1">INDIRECT($D129&amp;"!λDU")</f>
        <v>50</v>
      </c>
      <c r="S129" s="62">
        <f t="shared" ref="S129:S130" ca="1" si="1">R129*10^-9</f>
        <v>5.0000000000000004E-8</v>
      </c>
      <c r="T129" s="70" cm="1">
        <f t="array" aca="1" ref="T129" ca="1">INDIRECT($D129&amp;"!λDD")</f>
        <v>1000</v>
      </c>
      <c r="U129" s="62">
        <f t="shared" ref="U129:U130" ca="1" si="2">T129*10^-9</f>
        <v>1.0000000000000002E-6</v>
      </c>
      <c r="V129" s="24">
        <f ca="1"/>
        <v>0.95238095238095244</v>
      </c>
      <c r="W129" s="24">
        <f ca="1"/>
        <v>0.95454545454545459</v>
      </c>
      <c r="X129" s="70"/>
      <c r="Y129" s="62">
        <f ca="1"/>
        <v>1.0500000000000001E-6</v>
      </c>
      <c r="Z129" s="70" cm="1">
        <f t="array" aca="1" ref="Z129" ca="1">INDIRECT($D129&amp;"!λsu")</f>
        <v>50</v>
      </c>
      <c r="AA129" s="62">
        <f ca="1">MTBFS*10^-9</f>
        <v>5.0000000000000004E-8</v>
      </c>
      <c r="AB129">
        <v>6</v>
      </c>
      <c r="AC129" s="49">
        <f ca="1"/>
        <v>2.7250500000000003E-4</v>
      </c>
      <c r="AD129" s="35">
        <f ca="1"/>
        <v>7.8750000000000027E-8</v>
      </c>
      <c r="AE129" s="35">
        <f ca="1"/>
        <v>8.1751500000000015E-11</v>
      </c>
      <c r="AF129" s="211">
        <f ca="1">SUM(AD129:AE129)</f>
        <v>7.8831751500000026E-8</v>
      </c>
      <c r="AG129" s="49"/>
      <c r="AH129" s="18"/>
      <c r="AN129" s="211"/>
      <c r="AP129" s="60"/>
    </row>
    <row r="130" spans="1:42" x14ac:dyDescent="0.25">
      <c r="A130" s="191" t="s">
        <v>207</v>
      </c>
      <c r="B130" s="35">
        <f ca="1">ROUND(AF130,SigFigs-1-INT(LOG10(AF130)))</f>
        <v>4.8999999999999997E-7</v>
      </c>
      <c r="C130" s="3"/>
      <c r="D130" s="192" t="str">
        <f>FE_FMEA</f>
        <v>FMEA_3</v>
      </c>
      <c r="E130" s="192">
        <f>FE_M</f>
        <v>2</v>
      </c>
      <c r="F130" s="192">
        <f>FE_N</f>
        <v>3</v>
      </c>
      <c r="G130" s="3" t="str">
        <v>2oo3</v>
      </c>
      <c r="H130" s="192">
        <f>FE_T1</f>
        <v>1</v>
      </c>
      <c r="I130" s="27"/>
      <c r="J130" s="192">
        <f>FE_MTTR</f>
        <v>3</v>
      </c>
      <c r="K130" s="192">
        <f>FE_MRT</f>
        <v>3</v>
      </c>
      <c r="L130" s="60">
        <f t="shared" si="0"/>
        <v>72</v>
      </c>
      <c r="M130" s="60">
        <f t="shared" si="0"/>
        <v>72</v>
      </c>
      <c r="N130" s="192">
        <f>FE_B</f>
        <v>0.1</v>
      </c>
      <c r="O130" s="192">
        <f>FE_BD</f>
        <v>0.1</v>
      </c>
      <c r="P130">
        <v>0.15000000000000002</v>
      </c>
      <c r="Q130">
        <v>0.15000000000000002</v>
      </c>
      <c r="R130" s="70" cm="1">
        <f t="array" aca="1" ref="R130" ca="1">INDIRECT($D130&amp;"!λDU")</f>
        <v>2300</v>
      </c>
      <c r="S130" s="62">
        <f t="shared" ca="1" si="1"/>
        <v>2.3E-6</v>
      </c>
      <c r="T130" s="70" cm="1">
        <f t="array" aca="1" ref="T130" ca="1">INDIRECT($D130&amp;"!λDD")</f>
        <v>140</v>
      </c>
      <c r="U130" s="62">
        <f t="shared" ca="1" si="2"/>
        <v>1.4000000000000001E-7</v>
      </c>
      <c r="V130" s="24">
        <f ca="1"/>
        <v>5.7377049180327877E-2</v>
      </c>
      <c r="W130" s="24">
        <f ca="1"/>
        <v>0.20689655172413796</v>
      </c>
      <c r="X130" s="70"/>
      <c r="Y130" s="62">
        <f ca="1"/>
        <v>2.4399999999999999E-6</v>
      </c>
      <c r="Z130" s="70" cm="1">
        <f t="array" aca="1" ref="Z130" ca="1">INDIRECT($D130&amp;"!λsu")</f>
        <v>460</v>
      </c>
      <c r="AA130" s="62">
        <f ca="1">MTBFS*10^-9</f>
        <v>4.6000000000000004E-7</v>
      </c>
      <c r="AB130">
        <v>6</v>
      </c>
      <c r="AC130" s="49">
        <f ca="1"/>
        <v>8.7122280000000007E-3</v>
      </c>
      <c r="AD130" s="35">
        <f ca="1"/>
        <v>3.6600000000000002E-7</v>
      </c>
      <c r="AE130" s="35">
        <f ca="1"/>
        <v>1.2022874640000002E-7</v>
      </c>
      <c r="AF130" s="211">
        <f ca="1">SUM(AD130:AE130)</f>
        <v>4.8622874640000007E-7</v>
      </c>
      <c r="AG130" s="49"/>
      <c r="AH130" s="18"/>
      <c r="AN130" s="211"/>
      <c r="AP130" s="60"/>
    </row>
    <row r="131" spans="1:42" x14ac:dyDescent="0.25">
      <c r="A131" s="55" t="s">
        <v>346</v>
      </c>
      <c r="AG131" s="18"/>
    </row>
  </sheetData>
  <mergeCells count="21">
    <mergeCell ref="F58:G58"/>
    <mergeCell ref="B59:O59"/>
    <mergeCell ref="E69:F69"/>
    <mergeCell ref="F39:G39"/>
    <mergeCell ref="B40:O40"/>
    <mergeCell ref="B51:O51"/>
    <mergeCell ref="E53:F53"/>
    <mergeCell ref="B55:O55"/>
    <mergeCell ref="B57:O57"/>
    <mergeCell ref="B38:O38"/>
    <mergeCell ref="E7:F7"/>
    <mergeCell ref="B9:O9"/>
    <mergeCell ref="B13:O13"/>
    <mergeCell ref="E15:F15"/>
    <mergeCell ref="B17:O17"/>
    <mergeCell ref="B19:O19"/>
    <mergeCell ref="F20:G20"/>
    <mergeCell ref="B21:O21"/>
    <mergeCell ref="B32:O32"/>
    <mergeCell ref="E34:F34"/>
    <mergeCell ref="B36:O36"/>
  </mergeCells>
  <conditionalFormatting sqref="AD128:AE128">
    <cfRule type="colorScale" priority="5">
      <colorScale>
        <cfvo type="min"/>
        <cfvo type="max"/>
        <color theme="0" tint="-0.14999847407452621"/>
        <color theme="5"/>
      </colorScale>
    </cfRule>
    <cfRule type="colorScale" priority="6">
      <colorScale>
        <cfvo type="min"/>
        <cfvo type="max"/>
        <color theme="0" tint="-0.14999847407452621"/>
        <color rgb="FFFFC000"/>
      </colorScale>
    </cfRule>
  </conditionalFormatting>
  <conditionalFormatting sqref="AD129:AE129">
    <cfRule type="colorScale" priority="3">
      <colorScale>
        <cfvo type="min"/>
        <cfvo type="max"/>
        <color theme="0" tint="-0.14999847407452621"/>
        <color theme="5"/>
      </colorScale>
    </cfRule>
    <cfRule type="colorScale" priority="4">
      <colorScale>
        <cfvo type="min"/>
        <cfvo type="max"/>
        <color theme="0" tint="-0.14999847407452621"/>
        <color rgb="FFFFC000"/>
      </colorScale>
    </cfRule>
  </conditionalFormatting>
  <conditionalFormatting sqref="AD130:AE130">
    <cfRule type="colorScale" priority="1">
      <colorScale>
        <cfvo type="min"/>
        <cfvo type="max"/>
        <color theme="0" tint="-0.14999847407452621"/>
        <color theme="5"/>
      </colorScale>
    </cfRule>
    <cfRule type="colorScale" priority="2">
      <colorScale>
        <cfvo type="min"/>
        <cfvo type="max"/>
        <color theme="0" tint="-0.14999847407452621"/>
        <color rgb="FFFFC000"/>
      </colorScale>
    </cfRule>
  </conditionalFormatting>
  <conditionalFormatting sqref="AG128">
    <cfRule type="colorScale" priority="11">
      <colorScale>
        <cfvo type="min"/>
        <cfvo type="max"/>
        <color theme="0" tint="-0.14999847407452621"/>
        <color rgb="FFFFC000"/>
      </colorScale>
    </cfRule>
  </conditionalFormatting>
  <conditionalFormatting sqref="AG128:AG130">
    <cfRule type="colorScale" priority="12">
      <colorScale>
        <cfvo type="min"/>
        <cfvo type="max"/>
        <color theme="0" tint="-0.14999847407452621"/>
        <color theme="5"/>
      </colorScale>
    </cfRule>
  </conditionalFormatting>
  <conditionalFormatting sqref="AG129">
    <cfRule type="colorScale" priority="8">
      <colorScale>
        <cfvo type="min"/>
        <cfvo type="max"/>
        <color theme="0" tint="-0.14999847407452621"/>
        <color rgb="FFFFC000"/>
      </colorScale>
    </cfRule>
    <cfRule type="colorScale" priority="9">
      <colorScale>
        <cfvo type="min"/>
        <cfvo type="max"/>
        <color rgb="FFFF7128"/>
        <color rgb="FFFFEF9C"/>
      </colorScale>
    </cfRule>
    <cfRule type="colorScale" priority="10">
      <colorScale>
        <cfvo type="min"/>
        <cfvo type="max"/>
        <color theme="0" tint="-4.9989318521683403E-2"/>
        <color rgb="FFFFC000"/>
      </colorScale>
    </cfRule>
  </conditionalFormatting>
  <conditionalFormatting sqref="AG130">
    <cfRule type="colorScale" priority="7">
      <colorScale>
        <cfvo type="min"/>
        <cfvo type="max"/>
        <color theme="0" tint="-0.14999847407452621"/>
        <color rgb="FFFFC000"/>
      </colorScale>
    </cfRule>
  </conditionalFormatting>
  <dataValidations count="9">
    <dataValidation type="whole" allowBlank="1" showInputMessage="1" showErrorMessage="1" errorTitle="Out of range" error="Restricted to betwen 1 and N" promptTitle="Number needed for trip" prompt="Must be less than or equal to the number of channels" sqref="D61 D42 D23" xr:uid="{F8E1981A-308B-454C-802B-A74D2E30457E}">
      <formula1>1</formula1>
      <formula2>F23</formula2>
    </dataValidation>
    <dataValidation type="list" allowBlank="1" showInputMessage="1" showErrorMessage="1" promptTitle="Number of channels" prompt="Select a value from the drop down list" sqref="F61 F42 F23" xr:uid="{63CB338D-89DB-4924-8971-00BBC5285F21}">
      <formula1>Nrange</formula1>
    </dataValidation>
    <dataValidation type="list" allowBlank="1" showInputMessage="1" showErrorMessage="1" sqref="J7 F5" xr:uid="{86786269-8C7E-42F4-BADC-0D38555D4076}">
      <formula1>SIL</formula1>
    </dataValidation>
    <dataValidation type="list" allowBlank="1" showInputMessage="1" showErrorMessage="1" sqref="O24 O43 O62" xr:uid="{78B59B6F-F09A-4A4B-976C-7A03F092F571}">
      <formula1>HFTmethods</formula1>
    </dataValidation>
    <dataValidation type="list" allowBlank="1" showInputMessage="1" showErrorMessage="1" sqref="D89:D90" xr:uid="{7F65E043-CB43-45FF-8DFE-EFDFBFB113BE}">
      <formula1>orders_of_magnitude</formula1>
    </dataValidation>
    <dataValidation type="list" allowBlank="1" showInputMessage="1" showErrorMessage="1" sqref="F20 F39 F58" xr:uid="{87C25B54-4E91-4016-9703-13CF3B924967}">
      <formula1>Suitability</formula1>
    </dataValidation>
    <dataValidation type="list" allowBlank="1" showInputMessage="1" showErrorMessage="1" sqref="O39 O20 O58" xr:uid="{FC93B5BF-4B47-4596-B987-9DD89B11D148}">
      <formula1>SClist</formula1>
    </dataValidation>
    <dataValidation type="whole" allowBlank="1" showInputMessage="1" showErrorMessage="1" error="Enter a whole number 1, 2 or 3" sqref="B123 D90" xr:uid="{EC278DEB-27AF-426D-927B-F6D19EEFB024}">
      <formula1>1</formula1>
      <formula2>3</formula2>
    </dataValidation>
    <dataValidation type="list" allowBlank="1" showInputMessage="1" showErrorMessage="1" sqref="L46:L47 L27:L28 L65:L66" xr:uid="{6E1D5779-6E5D-43C6-A804-F2EAFCA7C3F5}">
      <formula1>βvalues</formula1>
    </dataValidation>
  </dataValidations>
  <pageMargins left="0.7" right="0.49" top="0.57999999999999996" bottom="0.47" header="0.3" footer="0.3"/>
  <pageSetup paperSize="8" orientation="landscape" r:id="rId1"/>
  <rowBreaks count="1" manualBreakCount="1">
    <brk id="68"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C27C9-8628-4C55-8717-709527AD1966}">
  <sheetPr>
    <pageSetUpPr fitToPage="1"/>
  </sheetPr>
  <dimension ref="A1:T42"/>
  <sheetViews>
    <sheetView zoomScaleNormal="100" workbookViewId="0">
      <pane xSplit="1" ySplit="11" topLeftCell="H12" activePane="bottomRight" state="frozen"/>
      <selection activeCell="I8" sqref="I8"/>
      <selection pane="topRight" activeCell="I8" sqref="I8"/>
      <selection pane="bottomLeft" activeCell="I8" sqref="I8"/>
      <selection pane="bottomRight" activeCell="Q17" sqref="Q17"/>
    </sheetView>
  </sheetViews>
  <sheetFormatPr defaultColWidth="9.140625" defaultRowHeight="15" x14ac:dyDescent="0.25"/>
  <cols>
    <col min="1" max="1" width="9.85546875" style="54" customWidth="1"/>
    <col min="2" max="2" width="15.140625" style="54" bestFit="1" customWidth="1"/>
    <col min="3" max="3" width="18.85546875" style="54" bestFit="1" customWidth="1"/>
    <col min="4" max="4" width="19" style="54" customWidth="1"/>
    <col min="5" max="5" width="18.5703125" style="54" customWidth="1"/>
    <col min="6" max="6" width="10" style="54" customWidth="1"/>
    <col min="7" max="7" width="17.42578125" style="54" customWidth="1"/>
    <col min="8" max="8" width="14.42578125" style="64" customWidth="1"/>
    <col min="9" max="9" width="12.140625" style="54" customWidth="1"/>
    <col min="10" max="10" width="13.5703125" style="54" customWidth="1"/>
    <col min="11" max="12" width="10.5703125" style="54" customWidth="1"/>
    <col min="13" max="15" width="9.85546875" style="54" customWidth="1"/>
    <col min="16" max="16" width="11.42578125" style="54" customWidth="1"/>
    <col min="17" max="17" width="51.85546875" style="54" customWidth="1"/>
    <col min="18" max="16384" width="9.140625" style="54"/>
  </cols>
  <sheetData>
    <row r="1" spans="1:20" ht="25.5" customHeight="1" x14ac:dyDescent="0.25">
      <c r="A1" s="56" t="s">
        <v>126</v>
      </c>
      <c r="E1" s="69" t="s">
        <v>131</v>
      </c>
      <c r="H1" s="75" t="s">
        <v>44</v>
      </c>
      <c r="I1"/>
      <c r="J1"/>
      <c r="K1" s="26"/>
      <c r="M1" s="76" t="s">
        <v>157</v>
      </c>
      <c r="N1" s="76"/>
      <c r="O1" s="76"/>
      <c r="P1" s="76"/>
      <c r="Q1" s="76"/>
    </row>
    <row r="2" spans="1:20" ht="15.75" thickBot="1" x14ac:dyDescent="0.3"/>
    <row r="3" spans="1:20" ht="15.75" thickBot="1" x14ac:dyDescent="0.3">
      <c r="A3" s="55" t="s">
        <v>89</v>
      </c>
      <c r="B3" s="72" t="s">
        <v>331</v>
      </c>
      <c r="C3" s="73" t="s">
        <v>90</v>
      </c>
      <c r="D3" s="249" t="s">
        <v>106</v>
      </c>
      <c r="E3" s="250"/>
      <c r="F3" s="250"/>
      <c r="G3" s="250"/>
      <c r="H3" s="250"/>
      <c r="I3" s="250"/>
      <c r="J3" s="250"/>
      <c r="K3" s="250"/>
      <c r="L3" s="250"/>
      <c r="M3" s="250"/>
      <c r="N3" s="250"/>
      <c r="O3" s="250"/>
      <c r="P3" s="250"/>
      <c r="Q3" s="251"/>
      <c r="R3"/>
      <c r="S3"/>
      <c r="T3"/>
    </row>
    <row r="4" spans="1:20" ht="15.75" thickBot="1" x14ac:dyDescent="0.3">
      <c r="C4" s="23" t="s">
        <v>155</v>
      </c>
      <c r="D4" s="249" t="s">
        <v>161</v>
      </c>
      <c r="E4" s="250"/>
      <c r="F4" s="250"/>
      <c r="G4" s="250"/>
      <c r="H4" s="250"/>
      <c r="I4" s="250"/>
      <c r="J4" s="250"/>
      <c r="K4" s="250"/>
      <c r="L4" s="250"/>
      <c r="M4" s="250"/>
      <c r="N4" s="250"/>
      <c r="O4" s="250"/>
      <c r="P4" s="250"/>
      <c r="Q4" s="251"/>
      <c r="R4"/>
      <c r="S4"/>
      <c r="T4"/>
    </row>
    <row r="5" spans="1:20" ht="15.75" thickBot="1" x14ac:dyDescent="0.3">
      <c r="C5" s="23" t="s">
        <v>52</v>
      </c>
      <c r="D5" s="249" t="s">
        <v>163</v>
      </c>
      <c r="E5" s="250"/>
      <c r="F5" s="250"/>
      <c r="G5" s="250"/>
      <c r="H5" s="250"/>
      <c r="I5" s="250"/>
      <c r="J5" s="250"/>
      <c r="K5" s="250"/>
      <c r="L5" s="250"/>
      <c r="M5" s="250"/>
      <c r="N5" s="250"/>
      <c r="O5" s="250"/>
      <c r="P5" s="250"/>
      <c r="Q5" s="251"/>
      <c r="R5"/>
      <c r="S5"/>
      <c r="T5"/>
    </row>
    <row r="6" spans="1:20" ht="15.75" thickBot="1" x14ac:dyDescent="0.3">
      <c r="C6" s="23" t="s">
        <v>164</v>
      </c>
      <c r="D6" s="249" t="s">
        <v>165</v>
      </c>
      <c r="E6" s="250"/>
      <c r="F6" s="250"/>
      <c r="G6" s="250"/>
      <c r="H6" s="250"/>
      <c r="I6" s="250"/>
      <c r="J6" s="250"/>
      <c r="K6" s="250"/>
      <c r="L6" s="250"/>
      <c r="M6" s="250"/>
      <c r="N6" s="250"/>
      <c r="O6" s="250"/>
      <c r="P6" s="250"/>
      <c r="Q6" s="251"/>
      <c r="R6"/>
      <c r="S6"/>
      <c r="T6"/>
    </row>
    <row r="7" spans="1:20" ht="15.75" thickBot="1" x14ac:dyDescent="0.3">
      <c r="A7" s="55" t="s">
        <v>172</v>
      </c>
      <c r="B7" s="93" t="s">
        <v>168</v>
      </c>
      <c r="C7" s="23"/>
      <c r="D7" s="23"/>
      <c r="E7" s="23"/>
      <c r="F7" s="23"/>
      <c r="G7" s="23"/>
      <c r="H7" s="23"/>
      <c r="I7" s="23"/>
      <c r="J7" s="23"/>
      <c r="K7" s="23"/>
      <c r="L7" s="23"/>
      <c r="M7" s="23"/>
      <c r="N7" s="23"/>
      <c r="O7" s="23"/>
      <c r="P7" s="23"/>
      <c r="Q7" s="23"/>
      <c r="R7"/>
      <c r="S7"/>
      <c r="T7"/>
    </row>
    <row r="8" spans="1:20" ht="18" x14ac:dyDescent="0.25">
      <c r="F8" s="82" t="s">
        <v>117</v>
      </c>
      <c r="H8" s="83" t="s">
        <v>159</v>
      </c>
      <c r="I8" s="83" t="s">
        <v>125</v>
      </c>
      <c r="J8" s="83" t="s">
        <v>33</v>
      </c>
      <c r="K8" s="82" t="s">
        <v>114</v>
      </c>
      <c r="L8" s="82" t="s">
        <v>115</v>
      </c>
      <c r="M8" s="82" t="s">
        <v>116</v>
      </c>
      <c r="N8" s="82" t="s">
        <v>130</v>
      </c>
      <c r="O8" s="82" t="s">
        <v>194</v>
      </c>
      <c r="P8" s="82" t="s">
        <v>193</v>
      </c>
      <c r="Q8"/>
      <c r="R8"/>
      <c r="S8"/>
      <c r="T8"/>
    </row>
    <row r="9" spans="1:20" ht="17.25" x14ac:dyDescent="0.25">
      <c r="A9" s="55" t="s">
        <v>111</v>
      </c>
      <c r="E9" s="55" t="s">
        <v>107</v>
      </c>
      <c r="F9" s="184">
        <f>ROUND(SUM(λDD,λDU,λSD,λSU),SigFigs-1-INT(LOG10(SUM(λDD,λDU,λSD,λSU))))</f>
        <v>2600</v>
      </c>
      <c r="G9" s="68"/>
      <c r="H9" s="183">
        <f>λDD/λD</f>
        <v>0.75</v>
      </c>
      <c r="I9" s="183">
        <f>(λDD+λSU+λSD)/λ</f>
        <v>0.85</v>
      </c>
      <c r="J9" s="183">
        <f>1-λDN/λDU</f>
        <v>0.97179487179487178</v>
      </c>
      <c r="K9" s="184">
        <f>ROUND(SUM(λD_FITS),SigFigs-1-INT(LOG10(SUM(λD_FITS,1))))</f>
        <v>1600</v>
      </c>
      <c r="L9" s="184">
        <f>ROUND(SUM(λDD_FITS),SigFigs-1-INT(LOG10(SUM(λDD_FITS,1))))</f>
        <v>1200</v>
      </c>
      <c r="M9" s="184">
        <f>ROUND(SUM(λDU_FITS),SigFigs-1-INT(LOG10(SUM(λDU_FITS,1))))</f>
        <v>390</v>
      </c>
      <c r="N9" s="184">
        <f>ROUND(SUM(λDN_FITS),SigFigs-1-INT(LOG10(SUM(λDN_FITS,1))))</f>
        <v>11</v>
      </c>
      <c r="O9" s="184">
        <f>ROUND(SUM(λSD_FITS),SigFigs-1-INT(LOG10(SUM(λSD_FITS,1))))</f>
        <v>550</v>
      </c>
      <c r="P9" s="184">
        <f>ROUND(SUM(λSU_FITS),SigFigs-1-INT(LOG10(SUM(λSU_FITS,1))))</f>
        <v>460</v>
      </c>
      <c r="Q9"/>
      <c r="R9"/>
      <c r="S9"/>
      <c r="T9"/>
    </row>
    <row r="10" spans="1:20" x14ac:dyDescent="0.25">
      <c r="R10"/>
      <c r="S10"/>
      <c r="T10"/>
    </row>
    <row r="11" spans="1:20" s="58" customFormat="1" ht="51" x14ac:dyDescent="0.25">
      <c r="A11" s="57" t="s">
        <v>91</v>
      </c>
      <c r="B11" s="57" t="s">
        <v>92</v>
      </c>
      <c r="C11" s="57" t="s">
        <v>93</v>
      </c>
      <c r="D11" s="57" t="s">
        <v>94</v>
      </c>
      <c r="E11" s="57" t="s">
        <v>95</v>
      </c>
      <c r="F11" s="57" t="s">
        <v>109</v>
      </c>
      <c r="G11" s="57" t="s">
        <v>105</v>
      </c>
      <c r="H11" s="57" t="s">
        <v>119</v>
      </c>
      <c r="I11" s="57" t="s">
        <v>96</v>
      </c>
      <c r="J11" s="57" t="s">
        <v>129</v>
      </c>
      <c r="K11" s="59" t="s">
        <v>114</v>
      </c>
      <c r="L11" s="59" t="s">
        <v>115</v>
      </c>
      <c r="M11" s="59" t="s">
        <v>116</v>
      </c>
      <c r="N11" s="59" t="s">
        <v>130</v>
      </c>
      <c r="O11" s="59" t="s">
        <v>194</v>
      </c>
      <c r="P11" s="59" t="s">
        <v>193</v>
      </c>
      <c r="Q11" s="57" t="s">
        <v>98</v>
      </c>
    </row>
    <row r="12" spans="1:20" ht="90" x14ac:dyDescent="0.25">
      <c r="A12" s="74">
        <v>1</v>
      </c>
      <c r="B12" s="74" t="s">
        <v>100</v>
      </c>
      <c r="C12" s="77" t="s">
        <v>80</v>
      </c>
      <c r="D12" s="74" t="s">
        <v>101</v>
      </c>
      <c r="E12" s="74"/>
      <c r="F12" s="78">
        <v>300</v>
      </c>
      <c r="G12" s="74" t="s">
        <v>112</v>
      </c>
      <c r="H12" s="80">
        <v>0.9</v>
      </c>
      <c r="I12" s="80">
        <v>1</v>
      </c>
      <c r="J12" s="80">
        <v>1</v>
      </c>
      <c r="K12" s="185">
        <f t="shared" ref="K12:K21" si="0">F12*I12</f>
        <v>300</v>
      </c>
      <c r="L12" s="185">
        <f t="shared" ref="L12:L21" si="1">K12*H12</f>
        <v>270</v>
      </c>
      <c r="M12" s="185">
        <f>(K12-L12)</f>
        <v>30</v>
      </c>
      <c r="N12" s="185">
        <f>(K12-L12)*(1-J12)</f>
        <v>0</v>
      </c>
      <c r="O12" s="185">
        <f>(F12-K12)*H12</f>
        <v>0</v>
      </c>
      <c r="P12" s="185">
        <f>(F12-K12)*(1-H12)</f>
        <v>0</v>
      </c>
      <c r="Q12" s="74" t="s">
        <v>158</v>
      </c>
    </row>
    <row r="13" spans="1:20" ht="75" x14ac:dyDescent="0.25">
      <c r="A13" s="74">
        <v>2</v>
      </c>
      <c r="B13" s="74" t="s">
        <v>102</v>
      </c>
      <c r="C13" s="77" t="s">
        <v>81</v>
      </c>
      <c r="D13" s="74" t="s">
        <v>103</v>
      </c>
      <c r="E13" s="74"/>
      <c r="F13" s="78">
        <v>30</v>
      </c>
      <c r="G13" s="74" t="s">
        <v>118</v>
      </c>
      <c r="H13" s="80">
        <v>0</v>
      </c>
      <c r="I13" s="80">
        <v>0</v>
      </c>
      <c r="J13" s="80">
        <v>1</v>
      </c>
      <c r="K13" s="185">
        <f t="shared" si="0"/>
        <v>0</v>
      </c>
      <c r="L13" s="185">
        <f t="shared" si="1"/>
        <v>0</v>
      </c>
      <c r="M13" s="185">
        <f t="shared" ref="M13:M21" si="2">K13-L13</f>
        <v>0</v>
      </c>
      <c r="N13" s="185">
        <f t="shared" ref="N13:N41" si="3">(K13-L13)*(1-J13)</f>
        <v>0</v>
      </c>
      <c r="O13" s="185">
        <f t="shared" ref="O13:O41" si="4">(F13-K13)*H13</f>
        <v>0</v>
      </c>
      <c r="P13" s="185">
        <f>(F13-K13)*(1-H13)</f>
        <v>30</v>
      </c>
      <c r="Q13" s="74" t="s">
        <v>150</v>
      </c>
    </row>
    <row r="14" spans="1:20" ht="45" x14ac:dyDescent="0.25">
      <c r="A14" s="74">
        <v>3</v>
      </c>
      <c r="B14" s="74" t="s">
        <v>99</v>
      </c>
      <c r="C14" s="77" t="s">
        <v>74</v>
      </c>
      <c r="D14" s="74" t="s">
        <v>148</v>
      </c>
      <c r="E14" s="74"/>
      <c r="F14" s="79">
        <v>300</v>
      </c>
      <c r="G14" s="74" t="s">
        <v>118</v>
      </c>
      <c r="H14" s="81">
        <v>0</v>
      </c>
      <c r="I14" s="80">
        <v>0</v>
      </c>
      <c r="J14" s="80">
        <v>1</v>
      </c>
      <c r="K14" s="185">
        <f t="shared" si="0"/>
        <v>0</v>
      </c>
      <c r="L14" s="185">
        <f t="shared" si="1"/>
        <v>0</v>
      </c>
      <c r="M14" s="185">
        <f t="shared" si="2"/>
        <v>0</v>
      </c>
      <c r="N14" s="185">
        <f t="shared" si="3"/>
        <v>0</v>
      </c>
      <c r="O14" s="185">
        <f t="shared" si="4"/>
        <v>0</v>
      </c>
      <c r="P14" s="185">
        <f>(F14-K14)*(1-H14)</f>
        <v>300</v>
      </c>
      <c r="Q14" s="74" t="s">
        <v>151</v>
      </c>
    </row>
    <row r="15" spans="1:20" ht="30" x14ac:dyDescent="0.25">
      <c r="A15" s="74">
        <v>4</v>
      </c>
      <c r="B15" s="74" t="s">
        <v>99</v>
      </c>
      <c r="C15" s="77" t="s">
        <v>74</v>
      </c>
      <c r="D15" s="74" t="s">
        <v>149</v>
      </c>
      <c r="E15" s="74"/>
      <c r="F15" s="79">
        <v>150</v>
      </c>
      <c r="G15" s="74" t="s">
        <v>118</v>
      </c>
      <c r="H15" s="81">
        <v>0</v>
      </c>
      <c r="I15" s="80">
        <v>1</v>
      </c>
      <c r="J15" s="80">
        <v>1</v>
      </c>
      <c r="K15" s="185">
        <f t="shared" si="0"/>
        <v>150</v>
      </c>
      <c r="L15" s="185">
        <f t="shared" si="1"/>
        <v>0</v>
      </c>
      <c r="M15" s="185">
        <f t="shared" si="2"/>
        <v>150</v>
      </c>
      <c r="N15" s="185">
        <f t="shared" si="3"/>
        <v>0</v>
      </c>
      <c r="O15" s="185">
        <f t="shared" si="4"/>
        <v>0</v>
      </c>
      <c r="P15" s="185">
        <f t="shared" ref="P15:P41" si="5">(F15-K15)*(1-H15)</f>
        <v>0</v>
      </c>
      <c r="Q15" s="74" t="s">
        <v>150</v>
      </c>
    </row>
    <row r="16" spans="1:20" ht="60" x14ac:dyDescent="0.25">
      <c r="A16" s="74">
        <v>5</v>
      </c>
      <c r="B16" s="74" t="s">
        <v>99</v>
      </c>
      <c r="C16" s="77" t="s">
        <v>77</v>
      </c>
      <c r="D16" s="74" t="s">
        <v>133</v>
      </c>
      <c r="E16" s="74"/>
      <c r="F16" s="79">
        <v>300</v>
      </c>
      <c r="G16" s="74" t="s">
        <v>120</v>
      </c>
      <c r="H16" s="81">
        <v>0.3</v>
      </c>
      <c r="I16" s="80">
        <v>0.5</v>
      </c>
      <c r="J16" s="80">
        <v>0.9</v>
      </c>
      <c r="K16" s="185">
        <f t="shared" si="0"/>
        <v>150</v>
      </c>
      <c r="L16" s="185">
        <f t="shared" si="1"/>
        <v>45</v>
      </c>
      <c r="M16" s="185">
        <f t="shared" si="2"/>
        <v>105</v>
      </c>
      <c r="N16" s="185">
        <f>(K16-L16)*(1-J16)</f>
        <v>10.499999999999998</v>
      </c>
      <c r="O16" s="185">
        <f t="shared" si="4"/>
        <v>45</v>
      </c>
      <c r="P16" s="185">
        <f t="shared" si="5"/>
        <v>105</v>
      </c>
      <c r="Q16" s="74" t="s">
        <v>134</v>
      </c>
    </row>
    <row r="17" spans="1:17" ht="60" x14ac:dyDescent="0.25">
      <c r="A17" s="74">
        <v>6</v>
      </c>
      <c r="B17" s="74" t="s">
        <v>99</v>
      </c>
      <c r="C17" s="77" t="s">
        <v>76</v>
      </c>
      <c r="D17" s="74" t="s">
        <v>121</v>
      </c>
      <c r="E17" s="74"/>
      <c r="F17" s="79">
        <v>30</v>
      </c>
      <c r="G17" s="74" t="s">
        <v>120</v>
      </c>
      <c r="H17" s="80">
        <v>1</v>
      </c>
      <c r="I17" s="80">
        <v>0</v>
      </c>
      <c r="J17" s="80">
        <v>1</v>
      </c>
      <c r="K17" s="185">
        <f t="shared" si="0"/>
        <v>0</v>
      </c>
      <c r="L17" s="185">
        <f t="shared" si="1"/>
        <v>0</v>
      </c>
      <c r="M17" s="185">
        <f t="shared" si="2"/>
        <v>0</v>
      </c>
      <c r="N17" s="185">
        <f>(K17-L17)*(1-J17)</f>
        <v>0</v>
      </c>
      <c r="O17" s="185">
        <f t="shared" si="4"/>
        <v>30</v>
      </c>
      <c r="P17" s="185">
        <f t="shared" si="5"/>
        <v>0</v>
      </c>
      <c r="Q17" s="74" t="s">
        <v>152</v>
      </c>
    </row>
    <row r="18" spans="1:17" ht="30" x14ac:dyDescent="0.25">
      <c r="A18" s="74">
        <v>7</v>
      </c>
      <c r="B18" s="74" t="s">
        <v>99</v>
      </c>
      <c r="C18" s="77" t="s">
        <v>64</v>
      </c>
      <c r="D18" s="74"/>
      <c r="E18" s="74"/>
      <c r="F18" s="78">
        <v>100</v>
      </c>
      <c r="G18" s="74" t="s">
        <v>120</v>
      </c>
      <c r="H18" s="80">
        <v>1</v>
      </c>
      <c r="I18" s="80">
        <v>0</v>
      </c>
      <c r="J18" s="80">
        <v>1</v>
      </c>
      <c r="K18" s="185">
        <f t="shared" si="0"/>
        <v>0</v>
      </c>
      <c r="L18" s="185">
        <f t="shared" si="1"/>
        <v>0</v>
      </c>
      <c r="M18" s="185">
        <f t="shared" si="2"/>
        <v>0</v>
      </c>
      <c r="N18" s="185">
        <f>(K18-L18)*(1-J18)</f>
        <v>0</v>
      </c>
      <c r="O18" s="185">
        <f t="shared" si="4"/>
        <v>100</v>
      </c>
      <c r="P18" s="185">
        <f t="shared" si="5"/>
        <v>0</v>
      </c>
      <c r="Q18" s="74" t="s">
        <v>153</v>
      </c>
    </row>
    <row r="19" spans="1:17" x14ac:dyDescent="0.25">
      <c r="A19" s="74">
        <v>8</v>
      </c>
      <c r="B19" s="74" t="s">
        <v>104</v>
      </c>
      <c r="C19" s="77" t="s">
        <v>66</v>
      </c>
      <c r="D19" s="74" t="s">
        <v>121</v>
      </c>
      <c r="E19" s="74"/>
      <c r="F19" s="78">
        <v>100</v>
      </c>
      <c r="G19" s="74" t="s">
        <v>120</v>
      </c>
      <c r="H19" s="80">
        <v>0.99</v>
      </c>
      <c r="I19" s="80">
        <v>0</v>
      </c>
      <c r="J19" s="80">
        <v>1</v>
      </c>
      <c r="K19" s="185">
        <f t="shared" si="0"/>
        <v>0</v>
      </c>
      <c r="L19" s="185">
        <f t="shared" si="1"/>
        <v>0</v>
      </c>
      <c r="M19" s="185">
        <f t="shared" si="2"/>
        <v>0</v>
      </c>
      <c r="N19" s="185">
        <f t="shared" si="3"/>
        <v>0</v>
      </c>
      <c r="O19" s="185">
        <f t="shared" si="4"/>
        <v>99</v>
      </c>
      <c r="P19" s="185">
        <f t="shared" si="5"/>
        <v>1.0000000000000009</v>
      </c>
      <c r="Q19" s="74"/>
    </row>
    <row r="20" spans="1:17" x14ac:dyDescent="0.25">
      <c r="A20" s="74">
        <v>9</v>
      </c>
      <c r="B20" s="74" t="s">
        <v>104</v>
      </c>
      <c r="C20" s="77" t="s">
        <v>68</v>
      </c>
      <c r="D20" s="74" t="s">
        <v>121</v>
      </c>
      <c r="E20" s="74"/>
      <c r="F20" s="78">
        <v>100</v>
      </c>
      <c r="G20" s="74" t="s">
        <v>120</v>
      </c>
      <c r="H20" s="80">
        <v>1</v>
      </c>
      <c r="I20" s="80">
        <v>0</v>
      </c>
      <c r="J20" s="80">
        <v>1</v>
      </c>
      <c r="K20" s="185">
        <f t="shared" si="0"/>
        <v>0</v>
      </c>
      <c r="L20" s="185">
        <f t="shared" si="1"/>
        <v>0</v>
      </c>
      <c r="M20" s="185">
        <f t="shared" si="2"/>
        <v>0</v>
      </c>
      <c r="N20" s="185">
        <f t="shared" si="3"/>
        <v>0</v>
      </c>
      <c r="O20" s="185">
        <f t="shared" si="4"/>
        <v>100</v>
      </c>
      <c r="P20" s="185">
        <f t="shared" si="5"/>
        <v>0</v>
      </c>
      <c r="Q20" s="74"/>
    </row>
    <row r="21" spans="1:17" ht="45" x14ac:dyDescent="0.25">
      <c r="A21" s="74">
        <v>10</v>
      </c>
      <c r="B21" s="74" t="s">
        <v>104</v>
      </c>
      <c r="C21" s="77" t="s">
        <v>70</v>
      </c>
      <c r="D21" s="74" t="s">
        <v>123</v>
      </c>
      <c r="E21" s="74"/>
      <c r="F21" s="78">
        <v>100</v>
      </c>
      <c r="G21" s="74" t="s">
        <v>122</v>
      </c>
      <c r="H21" s="80">
        <v>0.9</v>
      </c>
      <c r="I21" s="80">
        <v>1</v>
      </c>
      <c r="J21" s="80">
        <v>1</v>
      </c>
      <c r="K21" s="185">
        <f t="shared" si="0"/>
        <v>100</v>
      </c>
      <c r="L21" s="185">
        <f t="shared" si="1"/>
        <v>90</v>
      </c>
      <c r="M21" s="185">
        <f t="shared" si="2"/>
        <v>10</v>
      </c>
      <c r="N21" s="185">
        <f t="shared" si="3"/>
        <v>0</v>
      </c>
      <c r="O21" s="185">
        <f t="shared" si="4"/>
        <v>0</v>
      </c>
      <c r="P21" s="185">
        <f t="shared" si="5"/>
        <v>0</v>
      </c>
      <c r="Q21" s="74" t="s">
        <v>132</v>
      </c>
    </row>
    <row r="22" spans="1:17" ht="45" x14ac:dyDescent="0.25">
      <c r="A22" s="74">
        <v>11</v>
      </c>
      <c r="B22" s="74" t="s">
        <v>104</v>
      </c>
      <c r="C22" s="77" t="s">
        <v>72</v>
      </c>
      <c r="D22" s="74" t="s">
        <v>124</v>
      </c>
      <c r="E22" s="74"/>
      <c r="F22" s="78">
        <v>100</v>
      </c>
      <c r="G22" s="74" t="s">
        <v>122</v>
      </c>
      <c r="H22" s="80">
        <v>0.9</v>
      </c>
      <c r="I22" s="80">
        <v>0</v>
      </c>
      <c r="J22" s="80">
        <v>1</v>
      </c>
      <c r="K22" s="185">
        <f t="shared" ref="K22:K41" si="6">F22*I22</f>
        <v>0</v>
      </c>
      <c r="L22" s="185">
        <f t="shared" ref="L22:L41" si="7">K22*H22</f>
        <v>0</v>
      </c>
      <c r="M22" s="185">
        <f t="shared" ref="M22:M41" si="8">K22-L22</f>
        <v>0</v>
      </c>
      <c r="N22" s="185">
        <f t="shared" si="3"/>
        <v>0</v>
      </c>
      <c r="O22" s="185">
        <f t="shared" si="4"/>
        <v>90</v>
      </c>
      <c r="P22" s="185">
        <f t="shared" si="5"/>
        <v>9.9999999999999982</v>
      </c>
      <c r="Q22" s="74" t="s">
        <v>132</v>
      </c>
    </row>
    <row r="23" spans="1:17" ht="60" x14ac:dyDescent="0.25">
      <c r="A23" s="74">
        <v>12</v>
      </c>
      <c r="B23" s="74" t="s">
        <v>186</v>
      </c>
      <c r="C23" s="77" t="s">
        <v>187</v>
      </c>
      <c r="D23" s="74" t="s">
        <v>189</v>
      </c>
      <c r="E23" s="74"/>
      <c r="F23" s="78">
        <v>1000</v>
      </c>
      <c r="G23" s="74" t="s">
        <v>190</v>
      </c>
      <c r="H23" s="80">
        <v>0.9</v>
      </c>
      <c r="I23" s="80">
        <v>0.9</v>
      </c>
      <c r="J23" s="80">
        <v>1</v>
      </c>
      <c r="K23" s="185">
        <f t="shared" si="6"/>
        <v>900</v>
      </c>
      <c r="L23" s="185">
        <f t="shared" si="7"/>
        <v>810</v>
      </c>
      <c r="M23" s="185">
        <f t="shared" si="8"/>
        <v>90</v>
      </c>
      <c r="N23" s="185">
        <f t="shared" si="3"/>
        <v>0</v>
      </c>
      <c r="O23" s="185">
        <f t="shared" si="4"/>
        <v>90</v>
      </c>
      <c r="P23" s="185">
        <f t="shared" si="5"/>
        <v>9.9999999999999982</v>
      </c>
      <c r="Q23" s="74"/>
    </row>
    <row r="24" spans="1:17" x14ac:dyDescent="0.25">
      <c r="A24" s="74">
        <v>13</v>
      </c>
      <c r="B24" s="74"/>
      <c r="C24" s="77"/>
      <c r="D24" s="74"/>
      <c r="E24" s="74"/>
      <c r="F24" s="78"/>
      <c r="G24" s="74"/>
      <c r="H24" s="80"/>
      <c r="I24" s="80"/>
      <c r="J24" s="80"/>
      <c r="K24" s="185">
        <f t="shared" si="6"/>
        <v>0</v>
      </c>
      <c r="L24" s="185">
        <f t="shared" si="7"/>
        <v>0</v>
      </c>
      <c r="M24" s="185">
        <f t="shared" si="8"/>
        <v>0</v>
      </c>
      <c r="N24" s="185">
        <f t="shared" si="3"/>
        <v>0</v>
      </c>
      <c r="O24" s="185">
        <f t="shared" si="4"/>
        <v>0</v>
      </c>
      <c r="P24" s="185">
        <f t="shared" si="5"/>
        <v>0</v>
      </c>
      <c r="Q24" s="74"/>
    </row>
    <row r="25" spans="1:17" x14ac:dyDescent="0.25">
      <c r="A25" s="74">
        <v>14</v>
      </c>
      <c r="B25" s="74"/>
      <c r="C25" s="77"/>
      <c r="D25" s="74"/>
      <c r="E25" s="74"/>
      <c r="F25" s="78"/>
      <c r="G25" s="74"/>
      <c r="H25" s="80"/>
      <c r="I25" s="80"/>
      <c r="J25" s="80"/>
      <c r="K25" s="185">
        <f t="shared" si="6"/>
        <v>0</v>
      </c>
      <c r="L25" s="185">
        <f t="shared" si="7"/>
        <v>0</v>
      </c>
      <c r="M25" s="185">
        <f t="shared" si="8"/>
        <v>0</v>
      </c>
      <c r="N25" s="185">
        <f t="shared" si="3"/>
        <v>0</v>
      </c>
      <c r="O25" s="185">
        <f t="shared" si="4"/>
        <v>0</v>
      </c>
      <c r="P25" s="185">
        <f t="shared" si="5"/>
        <v>0</v>
      </c>
      <c r="Q25" s="74"/>
    </row>
    <row r="26" spans="1:17" x14ac:dyDescent="0.25">
      <c r="A26" s="74">
        <v>15</v>
      </c>
      <c r="B26" s="74"/>
      <c r="C26" s="77"/>
      <c r="D26" s="74"/>
      <c r="E26" s="74"/>
      <c r="F26" s="78"/>
      <c r="G26" s="74"/>
      <c r="H26" s="80"/>
      <c r="I26" s="80"/>
      <c r="J26" s="80"/>
      <c r="K26" s="185">
        <f t="shared" si="6"/>
        <v>0</v>
      </c>
      <c r="L26" s="185">
        <f t="shared" si="7"/>
        <v>0</v>
      </c>
      <c r="M26" s="185">
        <f t="shared" si="8"/>
        <v>0</v>
      </c>
      <c r="N26" s="185">
        <f t="shared" si="3"/>
        <v>0</v>
      </c>
      <c r="O26" s="185">
        <f t="shared" si="4"/>
        <v>0</v>
      </c>
      <c r="P26" s="185">
        <f t="shared" si="5"/>
        <v>0</v>
      </c>
      <c r="Q26" s="74"/>
    </row>
    <row r="27" spans="1:17" x14ac:dyDescent="0.25">
      <c r="A27" s="74">
        <v>16</v>
      </c>
      <c r="B27" s="74"/>
      <c r="C27" s="77"/>
      <c r="D27" s="74"/>
      <c r="E27" s="74"/>
      <c r="F27" s="78"/>
      <c r="G27" s="74"/>
      <c r="H27" s="80"/>
      <c r="I27" s="80"/>
      <c r="J27" s="80"/>
      <c r="K27" s="185">
        <f t="shared" si="6"/>
        <v>0</v>
      </c>
      <c r="L27" s="185">
        <f t="shared" si="7"/>
        <v>0</v>
      </c>
      <c r="M27" s="185">
        <f t="shared" si="8"/>
        <v>0</v>
      </c>
      <c r="N27" s="185">
        <f t="shared" si="3"/>
        <v>0</v>
      </c>
      <c r="O27" s="185">
        <f t="shared" si="4"/>
        <v>0</v>
      </c>
      <c r="P27" s="185">
        <f t="shared" si="5"/>
        <v>0</v>
      </c>
      <c r="Q27" s="74"/>
    </row>
    <row r="28" spans="1:17" x14ac:dyDescent="0.25">
      <c r="A28" s="74">
        <v>17</v>
      </c>
      <c r="B28" s="74"/>
      <c r="C28" s="77"/>
      <c r="D28" s="74"/>
      <c r="E28" s="74"/>
      <c r="F28" s="78"/>
      <c r="G28" s="74"/>
      <c r="H28" s="80"/>
      <c r="I28" s="80"/>
      <c r="J28" s="80"/>
      <c r="K28" s="185">
        <f t="shared" si="6"/>
        <v>0</v>
      </c>
      <c r="L28" s="185">
        <f t="shared" si="7"/>
        <v>0</v>
      </c>
      <c r="M28" s="185">
        <f t="shared" si="8"/>
        <v>0</v>
      </c>
      <c r="N28" s="185">
        <f t="shared" si="3"/>
        <v>0</v>
      </c>
      <c r="O28" s="185">
        <f t="shared" si="4"/>
        <v>0</v>
      </c>
      <c r="P28" s="185">
        <f t="shared" si="5"/>
        <v>0</v>
      </c>
      <c r="Q28" s="74"/>
    </row>
    <row r="29" spans="1:17" x14ac:dyDescent="0.25">
      <c r="A29" s="74">
        <v>18</v>
      </c>
      <c r="B29" s="74"/>
      <c r="C29" s="77"/>
      <c r="D29" s="74"/>
      <c r="E29" s="74"/>
      <c r="F29" s="78"/>
      <c r="G29" s="74"/>
      <c r="H29" s="80"/>
      <c r="I29" s="80"/>
      <c r="J29" s="80"/>
      <c r="K29" s="185">
        <f t="shared" si="6"/>
        <v>0</v>
      </c>
      <c r="L29" s="185">
        <f t="shared" si="7"/>
        <v>0</v>
      </c>
      <c r="M29" s="185">
        <f t="shared" si="8"/>
        <v>0</v>
      </c>
      <c r="N29" s="185">
        <f t="shared" si="3"/>
        <v>0</v>
      </c>
      <c r="O29" s="185">
        <f t="shared" si="4"/>
        <v>0</v>
      </c>
      <c r="P29" s="185">
        <f t="shared" si="5"/>
        <v>0</v>
      </c>
      <c r="Q29" s="74"/>
    </row>
    <row r="30" spans="1:17" x14ac:dyDescent="0.25">
      <c r="A30" s="74">
        <v>19</v>
      </c>
      <c r="B30" s="74"/>
      <c r="C30" s="77"/>
      <c r="D30" s="74"/>
      <c r="E30" s="74"/>
      <c r="F30" s="78"/>
      <c r="G30" s="74"/>
      <c r="H30" s="80"/>
      <c r="I30" s="80"/>
      <c r="J30" s="80"/>
      <c r="K30" s="185">
        <f t="shared" si="6"/>
        <v>0</v>
      </c>
      <c r="L30" s="185">
        <f t="shared" si="7"/>
        <v>0</v>
      </c>
      <c r="M30" s="185">
        <f t="shared" si="8"/>
        <v>0</v>
      </c>
      <c r="N30" s="185">
        <f t="shared" si="3"/>
        <v>0</v>
      </c>
      <c r="O30" s="185">
        <f t="shared" si="4"/>
        <v>0</v>
      </c>
      <c r="P30" s="185">
        <f t="shared" si="5"/>
        <v>0</v>
      </c>
      <c r="Q30" s="74"/>
    </row>
    <row r="31" spans="1:17" x14ac:dyDescent="0.25">
      <c r="A31" s="74">
        <v>20</v>
      </c>
      <c r="B31" s="74"/>
      <c r="C31" s="77"/>
      <c r="D31" s="74"/>
      <c r="E31" s="74"/>
      <c r="F31" s="78"/>
      <c r="G31" s="74"/>
      <c r="H31" s="80"/>
      <c r="I31" s="80"/>
      <c r="J31" s="80"/>
      <c r="K31" s="185">
        <f t="shared" si="6"/>
        <v>0</v>
      </c>
      <c r="L31" s="185">
        <f t="shared" si="7"/>
        <v>0</v>
      </c>
      <c r="M31" s="185">
        <f t="shared" si="8"/>
        <v>0</v>
      </c>
      <c r="N31" s="185">
        <f t="shared" si="3"/>
        <v>0</v>
      </c>
      <c r="O31" s="185">
        <f t="shared" si="4"/>
        <v>0</v>
      </c>
      <c r="P31" s="185">
        <f t="shared" si="5"/>
        <v>0</v>
      </c>
      <c r="Q31" s="74"/>
    </row>
    <row r="32" spans="1:17" x14ac:dyDescent="0.25">
      <c r="A32" s="74">
        <v>21</v>
      </c>
      <c r="B32" s="74"/>
      <c r="C32" s="77"/>
      <c r="D32" s="74"/>
      <c r="E32" s="74"/>
      <c r="F32" s="78"/>
      <c r="G32" s="74"/>
      <c r="H32" s="80"/>
      <c r="I32" s="80"/>
      <c r="J32" s="80"/>
      <c r="K32" s="185">
        <f t="shared" si="6"/>
        <v>0</v>
      </c>
      <c r="L32" s="185">
        <f t="shared" si="7"/>
        <v>0</v>
      </c>
      <c r="M32" s="185">
        <f t="shared" si="8"/>
        <v>0</v>
      </c>
      <c r="N32" s="185">
        <f t="shared" si="3"/>
        <v>0</v>
      </c>
      <c r="O32" s="185">
        <f t="shared" si="4"/>
        <v>0</v>
      </c>
      <c r="P32" s="185">
        <f t="shared" si="5"/>
        <v>0</v>
      </c>
      <c r="Q32" s="74"/>
    </row>
    <row r="33" spans="1:17" x14ac:dyDescent="0.25">
      <c r="A33" s="74">
        <v>22</v>
      </c>
      <c r="B33" s="74"/>
      <c r="C33" s="77"/>
      <c r="D33" s="74"/>
      <c r="E33" s="74"/>
      <c r="F33" s="78"/>
      <c r="G33" s="74"/>
      <c r="H33" s="80"/>
      <c r="I33" s="80"/>
      <c r="J33" s="80"/>
      <c r="K33" s="185">
        <f t="shared" si="6"/>
        <v>0</v>
      </c>
      <c r="L33" s="185">
        <f t="shared" si="7"/>
        <v>0</v>
      </c>
      <c r="M33" s="185">
        <f t="shared" si="8"/>
        <v>0</v>
      </c>
      <c r="N33" s="185">
        <f t="shared" si="3"/>
        <v>0</v>
      </c>
      <c r="O33" s="185">
        <f t="shared" si="4"/>
        <v>0</v>
      </c>
      <c r="P33" s="185">
        <f t="shared" si="5"/>
        <v>0</v>
      </c>
      <c r="Q33" s="74"/>
    </row>
    <row r="34" spans="1:17" x14ac:dyDescent="0.25">
      <c r="A34" s="74">
        <v>23</v>
      </c>
      <c r="B34" s="74"/>
      <c r="C34" s="77"/>
      <c r="D34" s="74"/>
      <c r="E34" s="74"/>
      <c r="F34" s="78"/>
      <c r="G34" s="74"/>
      <c r="H34" s="80"/>
      <c r="I34" s="80"/>
      <c r="J34" s="80"/>
      <c r="K34" s="185">
        <f t="shared" si="6"/>
        <v>0</v>
      </c>
      <c r="L34" s="185">
        <f t="shared" si="7"/>
        <v>0</v>
      </c>
      <c r="M34" s="185">
        <f t="shared" si="8"/>
        <v>0</v>
      </c>
      <c r="N34" s="185">
        <f t="shared" si="3"/>
        <v>0</v>
      </c>
      <c r="O34" s="185">
        <f t="shared" si="4"/>
        <v>0</v>
      </c>
      <c r="P34" s="185">
        <f t="shared" si="5"/>
        <v>0</v>
      </c>
      <c r="Q34" s="74"/>
    </row>
    <row r="35" spans="1:17" x14ac:dyDescent="0.25">
      <c r="A35" s="74">
        <v>24</v>
      </c>
      <c r="B35" s="74"/>
      <c r="C35" s="77"/>
      <c r="D35" s="74"/>
      <c r="E35" s="74"/>
      <c r="F35" s="78"/>
      <c r="G35" s="74"/>
      <c r="H35" s="80"/>
      <c r="I35" s="80"/>
      <c r="J35" s="80"/>
      <c r="K35" s="185">
        <f t="shared" si="6"/>
        <v>0</v>
      </c>
      <c r="L35" s="185">
        <f t="shared" si="7"/>
        <v>0</v>
      </c>
      <c r="M35" s="185">
        <f t="shared" si="8"/>
        <v>0</v>
      </c>
      <c r="N35" s="185">
        <f t="shared" si="3"/>
        <v>0</v>
      </c>
      <c r="O35" s="185">
        <f t="shared" si="4"/>
        <v>0</v>
      </c>
      <c r="P35" s="185">
        <f t="shared" si="5"/>
        <v>0</v>
      </c>
      <c r="Q35" s="74"/>
    </row>
    <row r="36" spans="1:17" x14ac:dyDescent="0.25">
      <c r="A36" s="74">
        <v>25</v>
      </c>
      <c r="B36" s="74"/>
      <c r="C36" s="77"/>
      <c r="D36" s="74"/>
      <c r="E36" s="74"/>
      <c r="F36" s="78"/>
      <c r="G36" s="74"/>
      <c r="H36" s="80"/>
      <c r="I36" s="80"/>
      <c r="J36" s="80"/>
      <c r="K36" s="185">
        <f t="shared" si="6"/>
        <v>0</v>
      </c>
      <c r="L36" s="185">
        <f t="shared" si="7"/>
        <v>0</v>
      </c>
      <c r="M36" s="185">
        <f t="shared" si="8"/>
        <v>0</v>
      </c>
      <c r="N36" s="185">
        <f t="shared" si="3"/>
        <v>0</v>
      </c>
      <c r="O36" s="185">
        <f t="shared" si="4"/>
        <v>0</v>
      </c>
      <c r="P36" s="185">
        <f t="shared" si="5"/>
        <v>0</v>
      </c>
      <c r="Q36" s="74"/>
    </row>
    <row r="37" spans="1:17" x14ac:dyDescent="0.25">
      <c r="A37" s="74">
        <v>26</v>
      </c>
      <c r="B37" s="74"/>
      <c r="C37" s="77"/>
      <c r="D37" s="74"/>
      <c r="E37" s="74"/>
      <c r="F37" s="78"/>
      <c r="G37" s="74"/>
      <c r="H37" s="80"/>
      <c r="I37" s="80"/>
      <c r="J37" s="80"/>
      <c r="K37" s="185">
        <f t="shared" si="6"/>
        <v>0</v>
      </c>
      <c r="L37" s="185">
        <f t="shared" si="7"/>
        <v>0</v>
      </c>
      <c r="M37" s="185">
        <f t="shared" si="8"/>
        <v>0</v>
      </c>
      <c r="N37" s="185">
        <f t="shared" si="3"/>
        <v>0</v>
      </c>
      <c r="O37" s="185">
        <f t="shared" si="4"/>
        <v>0</v>
      </c>
      <c r="P37" s="185">
        <f t="shared" si="5"/>
        <v>0</v>
      </c>
      <c r="Q37" s="74"/>
    </row>
    <row r="38" spans="1:17" x14ac:dyDescent="0.25">
      <c r="A38" s="74">
        <v>27</v>
      </c>
      <c r="B38" s="74"/>
      <c r="C38" s="77"/>
      <c r="D38" s="74"/>
      <c r="E38" s="74"/>
      <c r="F38" s="78"/>
      <c r="G38" s="74"/>
      <c r="H38" s="80"/>
      <c r="I38" s="80"/>
      <c r="J38" s="80"/>
      <c r="K38" s="185">
        <f t="shared" si="6"/>
        <v>0</v>
      </c>
      <c r="L38" s="185">
        <f t="shared" si="7"/>
        <v>0</v>
      </c>
      <c r="M38" s="185">
        <f t="shared" si="8"/>
        <v>0</v>
      </c>
      <c r="N38" s="185">
        <f t="shared" si="3"/>
        <v>0</v>
      </c>
      <c r="O38" s="185">
        <f t="shared" si="4"/>
        <v>0</v>
      </c>
      <c r="P38" s="185">
        <f t="shared" si="5"/>
        <v>0</v>
      </c>
      <c r="Q38" s="74"/>
    </row>
    <row r="39" spans="1:17" x14ac:dyDescent="0.25">
      <c r="A39" s="74">
        <v>28</v>
      </c>
      <c r="B39" s="74"/>
      <c r="C39" s="77"/>
      <c r="D39" s="74"/>
      <c r="E39" s="74"/>
      <c r="F39" s="78"/>
      <c r="G39" s="74"/>
      <c r="H39" s="80"/>
      <c r="I39" s="80"/>
      <c r="J39" s="80"/>
      <c r="K39" s="185">
        <f t="shared" si="6"/>
        <v>0</v>
      </c>
      <c r="L39" s="185">
        <f t="shared" si="7"/>
        <v>0</v>
      </c>
      <c r="M39" s="185">
        <f t="shared" si="8"/>
        <v>0</v>
      </c>
      <c r="N39" s="185">
        <f t="shared" si="3"/>
        <v>0</v>
      </c>
      <c r="O39" s="185">
        <f t="shared" si="4"/>
        <v>0</v>
      </c>
      <c r="P39" s="185">
        <f t="shared" si="5"/>
        <v>0</v>
      </c>
      <c r="Q39" s="74"/>
    </row>
    <row r="40" spans="1:17" x14ac:dyDescent="0.25">
      <c r="A40" s="74">
        <v>29</v>
      </c>
      <c r="B40" s="74"/>
      <c r="C40" s="77"/>
      <c r="D40" s="74"/>
      <c r="E40" s="74"/>
      <c r="F40" s="78"/>
      <c r="G40" s="74"/>
      <c r="H40" s="80"/>
      <c r="I40" s="80"/>
      <c r="J40" s="80"/>
      <c r="K40" s="185">
        <f t="shared" si="6"/>
        <v>0</v>
      </c>
      <c r="L40" s="185">
        <f t="shared" si="7"/>
        <v>0</v>
      </c>
      <c r="M40" s="185">
        <f t="shared" si="8"/>
        <v>0</v>
      </c>
      <c r="N40" s="185">
        <f t="shared" si="3"/>
        <v>0</v>
      </c>
      <c r="O40" s="185">
        <f t="shared" si="4"/>
        <v>0</v>
      </c>
      <c r="P40" s="185">
        <f t="shared" si="5"/>
        <v>0</v>
      </c>
      <c r="Q40" s="74"/>
    </row>
    <row r="41" spans="1:17" x14ac:dyDescent="0.25">
      <c r="A41" s="74">
        <v>30</v>
      </c>
      <c r="B41" s="74"/>
      <c r="C41" s="77"/>
      <c r="D41" s="74"/>
      <c r="E41" s="74"/>
      <c r="F41" s="78"/>
      <c r="G41" s="74"/>
      <c r="H41" s="80"/>
      <c r="I41" s="80"/>
      <c r="J41" s="80"/>
      <c r="K41" s="185">
        <f t="shared" si="6"/>
        <v>0</v>
      </c>
      <c r="L41" s="185">
        <f t="shared" si="7"/>
        <v>0</v>
      </c>
      <c r="M41" s="185">
        <f t="shared" si="8"/>
        <v>0</v>
      </c>
      <c r="N41" s="185">
        <f t="shared" si="3"/>
        <v>0</v>
      </c>
      <c r="O41" s="185">
        <f t="shared" si="4"/>
        <v>0</v>
      </c>
      <c r="P41" s="185">
        <f t="shared" si="5"/>
        <v>0</v>
      </c>
      <c r="Q41" s="74"/>
    </row>
    <row r="42" spans="1:17" x14ac:dyDescent="0.25">
      <c r="A42" s="55" t="s">
        <v>156</v>
      </c>
    </row>
  </sheetData>
  <mergeCells count="4">
    <mergeCell ref="D5:Q5"/>
    <mergeCell ref="D3:Q3"/>
    <mergeCell ref="D4:Q4"/>
    <mergeCell ref="D6:Q6"/>
  </mergeCells>
  <dataValidations count="5">
    <dataValidation type="list" allowBlank="1" showInputMessage="1" showErrorMessage="1" sqref="H12:H41 J12:J41" xr:uid="{1ECD6D00-3A72-4D2A-89C5-424AE395C105}">
      <formula1>Detectability</formula1>
    </dataValidation>
    <dataValidation type="list" allowBlank="1" showInputMessage="1" showErrorMessage="1" sqref="F12:F41" xr:uid="{F4DBFFDC-AB27-4CB5-92CE-806D1E944EA4}">
      <formula1>FreqFITS</formula1>
    </dataValidation>
    <dataValidation type="list" allowBlank="1" showInputMessage="1" showErrorMessage="1" sqref="C12:C41" xr:uid="{CA873F1F-8444-4D3D-A2EB-4BDC70175B7D}">
      <formula1>Modes</formula1>
    </dataValidation>
    <dataValidation type="list" allowBlank="1" showInputMessage="1" showErrorMessage="1" sqref="I12:I41" xr:uid="{36605A6D-4F9E-45D2-A750-B15A22566D79}">
      <formula1>Dangerous_fraction</formula1>
    </dataValidation>
    <dataValidation type="list" allowBlank="1" showInputMessage="1" showErrorMessage="1" sqref="B7" xr:uid="{9B35C99B-07CA-4208-84ED-B3DABD16333B}">
      <formula1>TypeAorB</formula1>
    </dataValidation>
  </dataValidations>
  <pageMargins left="0.70866141732283472" right="0.70866141732283472" top="0.74803149606299213" bottom="0.74803149606299213" header="0.31496062992125984" footer="0.31496062992125984"/>
  <pageSetup paperSize="8" scale="72" orientation="landscape" r:id="rId1"/>
  <headerFooter>
    <oddFooter xml:space="preserve">&amp;LThis Document: &amp;F-&amp;A
&amp;K00-045Form: PROJFM55 Rev 0, Jul 18&amp;CI&amp;&amp;E Systems Pty Ltd
&amp;RPrinted: &amp;D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5281-3F2B-4C87-8363-5391E6C47497}">
  <sheetPr>
    <pageSetUpPr fitToPage="1"/>
  </sheetPr>
  <dimension ref="A1:T28"/>
  <sheetViews>
    <sheetView zoomScaleNormal="100" workbookViewId="0">
      <pane xSplit="1" ySplit="11" topLeftCell="B12" activePane="bottomRight" state="frozen"/>
      <selection activeCell="I8" sqref="I8"/>
      <selection pane="topRight" activeCell="I8" sqref="I8"/>
      <selection pane="bottomLeft" activeCell="I8" sqref="I8"/>
      <selection pane="bottomRight" activeCell="B3" sqref="B3"/>
    </sheetView>
  </sheetViews>
  <sheetFormatPr defaultColWidth="9.140625" defaultRowHeight="15" x14ac:dyDescent="0.25"/>
  <cols>
    <col min="1" max="1" width="9.85546875" style="54" customWidth="1"/>
    <col min="2" max="2" width="15.140625" style="54" bestFit="1" customWidth="1"/>
    <col min="3" max="3" width="18.85546875" style="54" bestFit="1" customWidth="1"/>
    <col min="4" max="4" width="19" style="54" customWidth="1"/>
    <col min="5" max="5" width="18.5703125" style="54" customWidth="1"/>
    <col min="6" max="6" width="10" style="54" customWidth="1"/>
    <col min="7" max="7" width="17.42578125" style="54" customWidth="1"/>
    <col min="8" max="8" width="14.42578125" style="64" customWidth="1"/>
    <col min="9" max="9" width="12.140625" style="54" customWidth="1"/>
    <col min="10" max="10" width="13.5703125" style="54" customWidth="1"/>
    <col min="11" max="12" width="10.5703125" style="54" customWidth="1"/>
    <col min="13" max="15" width="9.85546875" style="54" customWidth="1"/>
    <col min="16" max="16" width="11.42578125" style="54" customWidth="1"/>
    <col min="17" max="17" width="51.85546875" style="54" customWidth="1"/>
    <col min="18" max="16384" width="9.140625" style="54"/>
  </cols>
  <sheetData>
    <row r="1" spans="1:20" ht="25.5" customHeight="1" x14ac:dyDescent="0.25">
      <c r="A1" s="56" t="s">
        <v>126</v>
      </c>
      <c r="E1" s="69" t="s">
        <v>131</v>
      </c>
      <c r="H1" s="75" t="s">
        <v>44</v>
      </c>
      <c r="I1"/>
      <c r="J1"/>
      <c r="K1" s="26"/>
      <c r="M1" s="76" t="s">
        <v>157</v>
      </c>
      <c r="N1" s="76"/>
      <c r="O1" s="76"/>
      <c r="P1" s="76"/>
      <c r="Q1" s="76"/>
    </row>
    <row r="2" spans="1:20" ht="15.75" thickBot="1" x14ac:dyDescent="0.3"/>
    <row r="3" spans="1:20" ht="15.75" thickBot="1" x14ac:dyDescent="0.3">
      <c r="A3" s="55" t="s">
        <v>89</v>
      </c>
      <c r="B3" s="72" t="s">
        <v>333</v>
      </c>
      <c r="C3" s="73" t="s">
        <v>90</v>
      </c>
      <c r="D3" s="249" t="s">
        <v>181</v>
      </c>
      <c r="E3" s="250"/>
      <c r="F3" s="250"/>
      <c r="G3" s="250"/>
      <c r="H3" s="250"/>
      <c r="I3" s="250"/>
      <c r="J3" s="250"/>
      <c r="K3" s="250"/>
      <c r="L3" s="250"/>
      <c r="M3" s="250"/>
      <c r="N3" s="250"/>
      <c r="O3" s="250"/>
      <c r="P3" s="250"/>
      <c r="Q3" s="251"/>
      <c r="R3"/>
      <c r="S3"/>
      <c r="T3"/>
    </row>
    <row r="4" spans="1:20" ht="15.75" thickBot="1" x14ac:dyDescent="0.3">
      <c r="C4" s="23" t="s">
        <v>155</v>
      </c>
      <c r="D4" s="249" t="s">
        <v>182</v>
      </c>
      <c r="E4" s="250"/>
      <c r="F4" s="250"/>
      <c r="G4" s="250"/>
      <c r="H4" s="250"/>
      <c r="I4" s="250"/>
      <c r="J4" s="250"/>
      <c r="K4" s="250"/>
      <c r="L4" s="250"/>
      <c r="M4" s="250"/>
      <c r="N4" s="250"/>
      <c r="O4" s="250"/>
      <c r="P4" s="250"/>
      <c r="Q4" s="251"/>
      <c r="R4"/>
      <c r="S4"/>
      <c r="T4"/>
    </row>
    <row r="5" spans="1:20" ht="15.75" thickBot="1" x14ac:dyDescent="0.3">
      <c r="C5" s="23" t="s">
        <v>52</v>
      </c>
      <c r="D5" s="249" t="s">
        <v>163</v>
      </c>
      <c r="E5" s="250"/>
      <c r="F5" s="250"/>
      <c r="G5" s="250"/>
      <c r="H5" s="250"/>
      <c r="I5" s="250"/>
      <c r="J5" s="250"/>
      <c r="K5" s="250"/>
      <c r="L5" s="250"/>
      <c r="M5" s="250"/>
      <c r="N5" s="250"/>
      <c r="O5" s="250"/>
      <c r="P5" s="250"/>
      <c r="Q5" s="251"/>
      <c r="R5"/>
      <c r="S5"/>
      <c r="T5"/>
    </row>
    <row r="6" spans="1:20" ht="15.75" thickBot="1" x14ac:dyDescent="0.3">
      <c r="C6" s="23" t="s">
        <v>164</v>
      </c>
      <c r="D6" s="249" t="s">
        <v>165</v>
      </c>
      <c r="E6" s="250"/>
      <c r="F6" s="250"/>
      <c r="G6" s="250"/>
      <c r="H6" s="250"/>
      <c r="I6" s="250"/>
      <c r="J6" s="250"/>
      <c r="K6" s="250"/>
      <c r="L6" s="250"/>
      <c r="M6" s="250"/>
      <c r="N6" s="250"/>
      <c r="O6" s="250"/>
      <c r="P6" s="250"/>
      <c r="Q6" s="251"/>
      <c r="R6"/>
      <c r="S6"/>
      <c r="T6"/>
    </row>
    <row r="7" spans="1:20" ht="15.75" thickBot="1" x14ac:dyDescent="0.3">
      <c r="A7" s="55" t="s">
        <v>172</v>
      </c>
      <c r="B7" s="93" t="s">
        <v>168</v>
      </c>
      <c r="C7" s="23"/>
      <c r="D7" s="23"/>
      <c r="E7" s="23"/>
      <c r="F7" s="23"/>
      <c r="G7" s="23"/>
      <c r="H7" s="23"/>
      <c r="I7" s="23"/>
      <c r="J7" s="23"/>
      <c r="K7" s="23"/>
      <c r="L7" s="23"/>
      <c r="M7" s="23"/>
      <c r="N7" s="23"/>
      <c r="O7" s="23"/>
      <c r="P7" s="23"/>
      <c r="Q7" s="23"/>
      <c r="R7"/>
      <c r="S7"/>
      <c r="T7"/>
    </row>
    <row r="8" spans="1:20" ht="18" x14ac:dyDescent="0.25">
      <c r="F8" s="82" t="s">
        <v>117</v>
      </c>
      <c r="H8" s="83" t="s">
        <v>159</v>
      </c>
      <c r="I8" s="83" t="s">
        <v>125</v>
      </c>
      <c r="J8" s="83" t="s">
        <v>33</v>
      </c>
      <c r="K8" s="82" t="s">
        <v>114</v>
      </c>
      <c r="L8" s="82" t="s">
        <v>115</v>
      </c>
      <c r="M8" s="82" t="s">
        <v>116</v>
      </c>
      <c r="N8" s="82" t="s">
        <v>130</v>
      </c>
      <c r="O8" s="82" t="s">
        <v>194</v>
      </c>
      <c r="P8" s="82" t="s">
        <v>193</v>
      </c>
      <c r="Q8"/>
      <c r="R8"/>
      <c r="S8"/>
      <c r="T8"/>
    </row>
    <row r="9" spans="1:20" ht="17.25" x14ac:dyDescent="0.25">
      <c r="A9" s="55" t="s">
        <v>111</v>
      </c>
      <c r="E9" s="55" t="s">
        <v>107</v>
      </c>
      <c r="F9" s="184">
        <f>ROUND(SUM(λDD,λDU,λSD,λSU),SigFigs-1-INT(LOG10(SUM(λDD,λDU,λSD,λSU))))</f>
        <v>3100</v>
      </c>
      <c r="G9" s="68"/>
      <c r="H9" s="183">
        <f>λDD/λD</f>
        <v>0.90909090909090906</v>
      </c>
      <c r="I9" s="183">
        <f>(λDD+λSU+λSD)/λ</f>
        <v>0.9838709677419355</v>
      </c>
      <c r="J9" s="183">
        <f>1-λDN/λDU</f>
        <v>1</v>
      </c>
      <c r="K9" s="184">
        <f>ROUND(SUM(λD_FITS),SigFigs-1-INT(LOG10(SUM(λD_FITS,1))))</f>
        <v>1100</v>
      </c>
      <c r="L9" s="184">
        <f>ROUND(SUM(λDD_FITS),SigFigs-1-INT(LOG10(SUM(λDD_FITS,1))))</f>
        <v>1000</v>
      </c>
      <c r="M9" s="184">
        <f>ROUND(SUM(λDU_FITS),SigFigs-1-INT(LOG10(SUM(λDU_FITS,1))))</f>
        <v>50</v>
      </c>
      <c r="N9" s="184">
        <f>ROUND(SUM(λDN_FITS),SigFigs-1-INT(LOG10(SUM(λDN_FITS,1))))</f>
        <v>0</v>
      </c>
      <c r="O9" s="184">
        <f>ROUND(SUM(λSD_FITS),SigFigs-1-INT(LOG10(SUM(λSD_FITS,1))))</f>
        <v>2000</v>
      </c>
      <c r="P9" s="184">
        <f>ROUND(SUM(λSU_FITS),SigFigs-1-INT(LOG10(SUM(λSU_FITS,1))))</f>
        <v>50</v>
      </c>
      <c r="Q9"/>
      <c r="R9"/>
      <c r="S9"/>
      <c r="T9"/>
    </row>
    <row r="10" spans="1:20" x14ac:dyDescent="0.25">
      <c r="R10"/>
      <c r="S10"/>
      <c r="T10"/>
    </row>
    <row r="11" spans="1:20" s="58" customFormat="1" ht="51" x14ac:dyDescent="0.25">
      <c r="A11" s="57" t="s">
        <v>91</v>
      </c>
      <c r="B11" s="57" t="s">
        <v>92</v>
      </c>
      <c r="C11" s="57" t="s">
        <v>93</v>
      </c>
      <c r="D11" s="57" t="s">
        <v>94</v>
      </c>
      <c r="E11" s="57" t="s">
        <v>95</v>
      </c>
      <c r="F11" s="57" t="s">
        <v>109</v>
      </c>
      <c r="G11" s="57" t="s">
        <v>105</v>
      </c>
      <c r="H11" s="57" t="s">
        <v>119</v>
      </c>
      <c r="I11" s="57" t="s">
        <v>96</v>
      </c>
      <c r="J11" s="57" t="s">
        <v>129</v>
      </c>
      <c r="K11" s="59" t="s">
        <v>114</v>
      </c>
      <c r="L11" s="59" t="s">
        <v>115</v>
      </c>
      <c r="M11" s="59" t="s">
        <v>116</v>
      </c>
      <c r="N11" s="59" t="s">
        <v>130</v>
      </c>
      <c r="O11" s="59" t="s">
        <v>194</v>
      </c>
      <c r="P11" s="59" t="s">
        <v>193</v>
      </c>
      <c r="Q11" s="57" t="s">
        <v>98</v>
      </c>
    </row>
    <row r="12" spans="1:20" ht="60" x14ac:dyDescent="0.25">
      <c r="A12" s="95">
        <v>0</v>
      </c>
      <c r="B12" s="95" t="s">
        <v>188</v>
      </c>
      <c r="C12" s="95"/>
      <c r="D12" s="95"/>
      <c r="E12" s="95"/>
      <c r="F12" s="98">
        <f>SUM(L12:P12)</f>
        <v>3100</v>
      </c>
      <c r="G12" s="95"/>
      <c r="H12" s="96"/>
      <c r="I12" s="96"/>
      <c r="J12" s="96"/>
      <c r="K12" s="98">
        <f>L12+M12+N12</f>
        <v>1050</v>
      </c>
      <c r="L12" s="97">
        <v>1000</v>
      </c>
      <c r="M12" s="97">
        <v>50</v>
      </c>
      <c r="N12" s="97">
        <v>0</v>
      </c>
      <c r="O12" s="97">
        <v>2000</v>
      </c>
      <c r="P12" s="97">
        <v>50</v>
      </c>
      <c r="Q12" s="74" t="s">
        <v>253</v>
      </c>
    </row>
    <row r="13" spans="1:20" ht="45" x14ac:dyDescent="0.25">
      <c r="A13" s="74">
        <v>1</v>
      </c>
      <c r="B13" s="74" t="s">
        <v>183</v>
      </c>
      <c r="C13" s="77" t="s">
        <v>187</v>
      </c>
      <c r="D13" s="74"/>
      <c r="E13" s="74"/>
      <c r="F13" s="78"/>
      <c r="G13" s="74"/>
      <c r="H13" s="80"/>
      <c r="I13" s="80"/>
      <c r="J13" s="80"/>
      <c r="K13" s="185">
        <f t="shared" ref="K13:K27" si="0">F13*I13</f>
        <v>0</v>
      </c>
      <c r="L13" s="185">
        <f t="shared" ref="L13:L27" si="1">K13*H13</f>
        <v>0</v>
      </c>
      <c r="M13" s="185">
        <f t="shared" ref="M13:M27" si="2">K13-L13</f>
        <v>0</v>
      </c>
      <c r="N13" s="185">
        <f t="shared" ref="N13:N27" si="3">(K13-L13)*(1-J13)</f>
        <v>0</v>
      </c>
      <c r="O13" s="185">
        <f>(F13-K13)*H13</f>
        <v>0</v>
      </c>
      <c r="P13" s="185">
        <f t="shared" ref="P13:P27" si="4">(F13-K13)*(1-H13)</f>
        <v>0</v>
      </c>
      <c r="Q13" s="74" t="s">
        <v>254</v>
      </c>
    </row>
    <row r="14" spans="1:20" x14ac:dyDescent="0.25">
      <c r="A14" s="74">
        <v>2</v>
      </c>
      <c r="B14" s="74" t="s">
        <v>184</v>
      </c>
      <c r="C14" s="77" t="s">
        <v>187</v>
      </c>
      <c r="D14" s="74"/>
      <c r="E14" s="74"/>
      <c r="F14" s="78"/>
      <c r="G14" s="74"/>
      <c r="H14" s="80"/>
      <c r="I14" s="80"/>
      <c r="J14" s="80"/>
      <c r="K14" s="185">
        <f t="shared" si="0"/>
        <v>0</v>
      </c>
      <c r="L14" s="185">
        <f t="shared" si="1"/>
        <v>0</v>
      </c>
      <c r="M14" s="185">
        <f t="shared" si="2"/>
        <v>0</v>
      </c>
      <c r="N14" s="185">
        <f t="shared" si="3"/>
        <v>0</v>
      </c>
      <c r="O14" s="185">
        <f t="shared" ref="O14:O27" si="5">(F14-K14)*H14</f>
        <v>0</v>
      </c>
      <c r="P14" s="185">
        <f t="shared" si="4"/>
        <v>0</v>
      </c>
      <c r="Q14" s="74"/>
    </row>
    <row r="15" spans="1:20" x14ac:dyDescent="0.25">
      <c r="A15" s="74">
        <v>3</v>
      </c>
      <c r="B15" s="74"/>
      <c r="C15" s="77"/>
      <c r="D15" s="74"/>
      <c r="E15" s="74"/>
      <c r="F15" s="79"/>
      <c r="G15" s="74"/>
      <c r="H15" s="81"/>
      <c r="I15" s="80"/>
      <c r="J15" s="80"/>
      <c r="K15" s="185">
        <f t="shared" si="0"/>
        <v>0</v>
      </c>
      <c r="L15" s="185">
        <f t="shared" si="1"/>
        <v>0</v>
      </c>
      <c r="M15" s="185">
        <f t="shared" si="2"/>
        <v>0</v>
      </c>
      <c r="N15" s="185">
        <f t="shared" si="3"/>
        <v>0</v>
      </c>
      <c r="O15" s="185">
        <f t="shared" si="5"/>
        <v>0</v>
      </c>
      <c r="P15" s="185">
        <f t="shared" si="4"/>
        <v>0</v>
      </c>
      <c r="Q15" s="74"/>
    </row>
    <row r="16" spans="1:20" x14ac:dyDescent="0.25">
      <c r="A16" s="74">
        <v>4</v>
      </c>
      <c r="B16" s="74"/>
      <c r="C16" s="77"/>
      <c r="D16" s="74"/>
      <c r="E16" s="74"/>
      <c r="F16" s="79"/>
      <c r="G16" s="74"/>
      <c r="H16" s="81"/>
      <c r="I16" s="80"/>
      <c r="J16" s="80"/>
      <c r="K16" s="185">
        <f t="shared" si="0"/>
        <v>0</v>
      </c>
      <c r="L16" s="185">
        <f t="shared" si="1"/>
        <v>0</v>
      </c>
      <c r="M16" s="185">
        <f t="shared" si="2"/>
        <v>0</v>
      </c>
      <c r="N16" s="185">
        <f t="shared" si="3"/>
        <v>0</v>
      </c>
      <c r="O16" s="185">
        <f t="shared" si="5"/>
        <v>0</v>
      </c>
      <c r="P16" s="185">
        <f t="shared" si="4"/>
        <v>0</v>
      </c>
      <c r="Q16" s="74"/>
    </row>
    <row r="17" spans="1:17" x14ac:dyDescent="0.25">
      <c r="A17" s="74">
        <v>5</v>
      </c>
      <c r="B17" s="74"/>
      <c r="C17" s="77"/>
      <c r="D17" s="74"/>
      <c r="E17" s="74"/>
      <c r="F17" s="79"/>
      <c r="G17" s="74"/>
      <c r="H17" s="80"/>
      <c r="I17" s="80"/>
      <c r="J17" s="80"/>
      <c r="K17" s="185">
        <f t="shared" si="0"/>
        <v>0</v>
      </c>
      <c r="L17" s="185">
        <f t="shared" si="1"/>
        <v>0</v>
      </c>
      <c r="M17" s="185">
        <f t="shared" si="2"/>
        <v>0</v>
      </c>
      <c r="N17" s="185">
        <f t="shared" si="3"/>
        <v>0</v>
      </c>
      <c r="O17" s="185">
        <f t="shared" si="5"/>
        <v>0</v>
      </c>
      <c r="P17" s="185">
        <f t="shared" si="4"/>
        <v>0</v>
      </c>
      <c r="Q17" s="74"/>
    </row>
    <row r="18" spans="1:17" x14ac:dyDescent="0.25">
      <c r="A18" s="74">
        <v>6</v>
      </c>
      <c r="B18" s="74"/>
      <c r="C18" s="77"/>
      <c r="D18" s="74"/>
      <c r="E18" s="74"/>
      <c r="F18" s="78"/>
      <c r="G18" s="74"/>
      <c r="H18" s="80"/>
      <c r="I18" s="80"/>
      <c r="J18" s="80"/>
      <c r="K18" s="185">
        <f t="shared" si="0"/>
        <v>0</v>
      </c>
      <c r="L18" s="185">
        <f t="shared" si="1"/>
        <v>0</v>
      </c>
      <c r="M18" s="185">
        <f t="shared" si="2"/>
        <v>0</v>
      </c>
      <c r="N18" s="185">
        <f t="shared" si="3"/>
        <v>0</v>
      </c>
      <c r="O18" s="185">
        <f t="shared" si="5"/>
        <v>0</v>
      </c>
      <c r="P18" s="185">
        <f t="shared" si="4"/>
        <v>0</v>
      </c>
      <c r="Q18" s="74"/>
    </row>
    <row r="19" spans="1:17" x14ac:dyDescent="0.25">
      <c r="A19" s="74">
        <v>7</v>
      </c>
      <c r="B19" s="74"/>
      <c r="C19" s="77"/>
      <c r="D19" s="74"/>
      <c r="E19" s="74"/>
      <c r="F19" s="78"/>
      <c r="G19" s="74"/>
      <c r="H19" s="80"/>
      <c r="I19" s="80"/>
      <c r="J19" s="80"/>
      <c r="K19" s="185">
        <f t="shared" si="0"/>
        <v>0</v>
      </c>
      <c r="L19" s="185">
        <f t="shared" si="1"/>
        <v>0</v>
      </c>
      <c r="M19" s="185">
        <f t="shared" si="2"/>
        <v>0</v>
      </c>
      <c r="N19" s="185">
        <f t="shared" si="3"/>
        <v>0</v>
      </c>
      <c r="O19" s="185">
        <f t="shared" si="5"/>
        <v>0</v>
      </c>
      <c r="P19" s="185">
        <f t="shared" si="4"/>
        <v>0</v>
      </c>
      <c r="Q19" s="74"/>
    </row>
    <row r="20" spans="1:17" x14ac:dyDescent="0.25">
      <c r="A20" s="74">
        <v>8</v>
      </c>
      <c r="B20" s="74"/>
      <c r="C20" s="77"/>
      <c r="D20" s="74"/>
      <c r="E20" s="74"/>
      <c r="F20" s="78"/>
      <c r="G20" s="74"/>
      <c r="H20" s="80"/>
      <c r="I20" s="80"/>
      <c r="J20" s="80"/>
      <c r="K20" s="185">
        <f t="shared" si="0"/>
        <v>0</v>
      </c>
      <c r="L20" s="185">
        <f t="shared" si="1"/>
        <v>0</v>
      </c>
      <c r="M20" s="185">
        <f t="shared" si="2"/>
        <v>0</v>
      </c>
      <c r="N20" s="185">
        <f t="shared" si="3"/>
        <v>0</v>
      </c>
      <c r="O20" s="185">
        <f t="shared" si="5"/>
        <v>0</v>
      </c>
      <c r="P20" s="185">
        <f t="shared" si="4"/>
        <v>0</v>
      </c>
      <c r="Q20" s="74"/>
    </row>
    <row r="21" spans="1:17" x14ac:dyDescent="0.25">
      <c r="A21" s="74">
        <v>9</v>
      </c>
      <c r="B21" s="74"/>
      <c r="C21" s="77"/>
      <c r="D21" s="74"/>
      <c r="E21" s="74"/>
      <c r="F21" s="78"/>
      <c r="G21" s="74"/>
      <c r="H21" s="80"/>
      <c r="I21" s="80"/>
      <c r="J21" s="80"/>
      <c r="K21" s="185">
        <f t="shared" si="0"/>
        <v>0</v>
      </c>
      <c r="L21" s="185">
        <f t="shared" si="1"/>
        <v>0</v>
      </c>
      <c r="M21" s="185">
        <f t="shared" si="2"/>
        <v>0</v>
      </c>
      <c r="N21" s="185">
        <f t="shared" si="3"/>
        <v>0</v>
      </c>
      <c r="O21" s="185">
        <f t="shared" si="5"/>
        <v>0</v>
      </c>
      <c r="P21" s="185">
        <f t="shared" si="4"/>
        <v>0</v>
      </c>
      <c r="Q21" s="74"/>
    </row>
    <row r="22" spans="1:17" x14ac:dyDescent="0.25">
      <c r="A22" s="74">
        <v>10</v>
      </c>
      <c r="B22" s="74"/>
      <c r="C22" s="77"/>
      <c r="D22" s="74"/>
      <c r="E22" s="74"/>
      <c r="F22" s="78"/>
      <c r="G22" s="74"/>
      <c r="H22" s="80"/>
      <c r="I22" s="80"/>
      <c r="J22" s="80"/>
      <c r="K22" s="185">
        <f t="shared" si="0"/>
        <v>0</v>
      </c>
      <c r="L22" s="185">
        <f t="shared" si="1"/>
        <v>0</v>
      </c>
      <c r="M22" s="185">
        <f t="shared" si="2"/>
        <v>0</v>
      </c>
      <c r="N22" s="185">
        <f t="shared" si="3"/>
        <v>0</v>
      </c>
      <c r="O22" s="185">
        <f t="shared" si="5"/>
        <v>0</v>
      </c>
      <c r="P22" s="185">
        <f t="shared" si="4"/>
        <v>0</v>
      </c>
      <c r="Q22" s="74"/>
    </row>
    <row r="23" spans="1:17" x14ac:dyDescent="0.25">
      <c r="A23" s="74">
        <v>11</v>
      </c>
      <c r="B23" s="74"/>
      <c r="C23" s="77"/>
      <c r="D23" s="74"/>
      <c r="E23" s="74"/>
      <c r="F23" s="78"/>
      <c r="G23" s="74"/>
      <c r="H23" s="80"/>
      <c r="I23" s="80"/>
      <c r="J23" s="80"/>
      <c r="K23" s="185">
        <f t="shared" si="0"/>
        <v>0</v>
      </c>
      <c r="L23" s="185">
        <f t="shared" si="1"/>
        <v>0</v>
      </c>
      <c r="M23" s="185">
        <f t="shared" si="2"/>
        <v>0</v>
      </c>
      <c r="N23" s="185">
        <f t="shared" si="3"/>
        <v>0</v>
      </c>
      <c r="O23" s="185">
        <f t="shared" si="5"/>
        <v>0</v>
      </c>
      <c r="P23" s="185">
        <f t="shared" si="4"/>
        <v>0</v>
      </c>
      <c r="Q23" s="74"/>
    </row>
    <row r="24" spans="1:17" x14ac:dyDescent="0.25">
      <c r="A24" s="74">
        <v>12</v>
      </c>
      <c r="B24" s="74"/>
      <c r="C24" s="77"/>
      <c r="D24" s="74"/>
      <c r="E24" s="74"/>
      <c r="F24" s="78"/>
      <c r="G24" s="74"/>
      <c r="H24" s="80"/>
      <c r="I24" s="80"/>
      <c r="J24" s="80"/>
      <c r="K24" s="185">
        <f t="shared" si="0"/>
        <v>0</v>
      </c>
      <c r="L24" s="185">
        <f t="shared" si="1"/>
        <v>0</v>
      </c>
      <c r="M24" s="185">
        <f t="shared" si="2"/>
        <v>0</v>
      </c>
      <c r="N24" s="185">
        <f t="shared" si="3"/>
        <v>0</v>
      </c>
      <c r="O24" s="185">
        <f t="shared" si="5"/>
        <v>0</v>
      </c>
      <c r="P24" s="185">
        <f t="shared" si="4"/>
        <v>0</v>
      </c>
      <c r="Q24" s="74"/>
    </row>
    <row r="25" spans="1:17" x14ac:dyDescent="0.25">
      <c r="A25" s="74">
        <v>13</v>
      </c>
      <c r="B25" s="74"/>
      <c r="C25" s="77"/>
      <c r="D25" s="74"/>
      <c r="E25" s="74"/>
      <c r="F25" s="78"/>
      <c r="G25" s="74"/>
      <c r="H25" s="80"/>
      <c r="I25" s="80"/>
      <c r="J25" s="80"/>
      <c r="K25" s="185">
        <f t="shared" si="0"/>
        <v>0</v>
      </c>
      <c r="L25" s="185">
        <f t="shared" si="1"/>
        <v>0</v>
      </c>
      <c r="M25" s="185">
        <f t="shared" si="2"/>
        <v>0</v>
      </c>
      <c r="N25" s="185">
        <f t="shared" si="3"/>
        <v>0</v>
      </c>
      <c r="O25" s="185">
        <f t="shared" si="5"/>
        <v>0</v>
      </c>
      <c r="P25" s="185">
        <f t="shared" si="4"/>
        <v>0</v>
      </c>
      <c r="Q25" s="74"/>
    </row>
    <row r="26" spans="1:17" x14ac:dyDescent="0.25">
      <c r="A26" s="74">
        <v>14</v>
      </c>
      <c r="B26" s="74"/>
      <c r="C26" s="77"/>
      <c r="D26" s="74"/>
      <c r="E26" s="74"/>
      <c r="F26" s="78"/>
      <c r="G26" s="74"/>
      <c r="H26" s="80"/>
      <c r="I26" s="80"/>
      <c r="J26" s="80"/>
      <c r="K26" s="185">
        <f t="shared" si="0"/>
        <v>0</v>
      </c>
      <c r="L26" s="185">
        <f t="shared" si="1"/>
        <v>0</v>
      </c>
      <c r="M26" s="185">
        <f t="shared" si="2"/>
        <v>0</v>
      </c>
      <c r="N26" s="185">
        <f t="shared" si="3"/>
        <v>0</v>
      </c>
      <c r="O26" s="185">
        <f t="shared" si="5"/>
        <v>0</v>
      </c>
      <c r="P26" s="185">
        <f t="shared" si="4"/>
        <v>0</v>
      </c>
      <c r="Q26" s="74"/>
    </row>
    <row r="27" spans="1:17" x14ac:dyDescent="0.25">
      <c r="A27" s="74">
        <v>15</v>
      </c>
      <c r="B27" s="74"/>
      <c r="C27" s="77"/>
      <c r="D27" s="74"/>
      <c r="E27" s="74"/>
      <c r="F27" s="78"/>
      <c r="G27" s="74"/>
      <c r="H27" s="80"/>
      <c r="I27" s="80"/>
      <c r="J27" s="80"/>
      <c r="K27" s="185">
        <f t="shared" si="0"/>
        <v>0</v>
      </c>
      <c r="L27" s="185">
        <f t="shared" si="1"/>
        <v>0</v>
      </c>
      <c r="M27" s="185">
        <f t="shared" si="2"/>
        <v>0</v>
      </c>
      <c r="N27" s="185">
        <f t="shared" si="3"/>
        <v>0</v>
      </c>
      <c r="O27" s="185">
        <f t="shared" si="5"/>
        <v>0</v>
      </c>
      <c r="P27" s="185">
        <f t="shared" si="4"/>
        <v>0</v>
      </c>
      <c r="Q27" s="74"/>
    </row>
    <row r="28" spans="1:17" x14ac:dyDescent="0.25">
      <c r="A28" s="55" t="s">
        <v>156</v>
      </c>
    </row>
  </sheetData>
  <mergeCells count="4">
    <mergeCell ref="D3:Q3"/>
    <mergeCell ref="D4:Q4"/>
    <mergeCell ref="D5:Q5"/>
    <mergeCell ref="D6:Q6"/>
  </mergeCells>
  <dataValidations count="5">
    <dataValidation type="list" allowBlank="1" showInputMessage="1" showErrorMessage="1" sqref="B7" xr:uid="{67E36EFA-27C2-4E33-ABD9-C26F727989D3}">
      <formula1>TypeAorB</formula1>
    </dataValidation>
    <dataValidation type="list" allowBlank="1" showInputMessage="1" showErrorMessage="1" sqref="I12:I27" xr:uid="{F4E14631-CC2E-4953-9FE1-8830479E2201}">
      <formula1>Dangerous_fraction</formula1>
    </dataValidation>
    <dataValidation type="list" allowBlank="1" showInputMessage="1" showErrorMessage="1" sqref="C12:C27" xr:uid="{4D0AFBDE-935A-4DA2-BE33-11F40A33CDBD}">
      <formula1>Modes</formula1>
    </dataValidation>
    <dataValidation type="list" allowBlank="1" showInputMessage="1" showErrorMessage="1" sqref="F13:F27" xr:uid="{0D52875A-ADF8-4D06-B522-424DC7DB5104}">
      <formula1>FreqFITS</formula1>
    </dataValidation>
    <dataValidation type="list" allowBlank="1" showInputMessage="1" showErrorMessage="1" sqref="J12:J27 H12:H27" xr:uid="{39D7A49F-0D02-431F-AE54-241F665E6247}">
      <formula1>Detectability</formula1>
    </dataValidation>
  </dataValidations>
  <pageMargins left="0.70866141732283472" right="0.70866141732283472" top="0.74803149606299213" bottom="0.74803149606299213" header="0.31496062992125984" footer="0.31496062992125984"/>
  <pageSetup paperSize="8" scale="72" orientation="landscape" r:id="rId1"/>
  <headerFooter>
    <oddFooter xml:space="preserve">&amp;LThis Document: &amp;F-&amp;A
&amp;K00-045Form: PROJFM55 Rev 0, Jul 18&amp;CI&amp;&amp;E Systems Pty Ltd
&amp;RPrinted: &amp;D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E1E4-D0CD-49D2-9731-D0AA4C83CA67}">
  <sheetPr>
    <pageSetUpPr fitToPage="1"/>
  </sheetPr>
  <dimension ref="A1:T42"/>
  <sheetViews>
    <sheetView zoomScaleNormal="100" workbookViewId="0">
      <pane xSplit="1" ySplit="11" topLeftCell="B12" activePane="bottomRight" state="frozen"/>
      <selection activeCell="I8" sqref="I8"/>
      <selection pane="topRight" activeCell="I8" sqref="I8"/>
      <selection pane="bottomLeft" activeCell="I8" sqref="I8"/>
      <selection pane="bottomRight" activeCell="B3" sqref="B3"/>
    </sheetView>
  </sheetViews>
  <sheetFormatPr defaultColWidth="9.140625" defaultRowHeight="15" x14ac:dyDescent="0.25"/>
  <cols>
    <col min="1" max="1" width="9.85546875" style="54" customWidth="1"/>
    <col min="2" max="2" width="15.140625" style="54" bestFit="1" customWidth="1"/>
    <col min="3" max="3" width="18.85546875" style="54" bestFit="1" customWidth="1"/>
    <col min="4" max="4" width="19" style="54" customWidth="1"/>
    <col min="5" max="5" width="18.5703125" style="54" customWidth="1"/>
    <col min="6" max="6" width="10" style="54" customWidth="1"/>
    <col min="7" max="7" width="17.42578125" style="54" customWidth="1"/>
    <col min="8" max="8" width="14.42578125" style="64" customWidth="1"/>
    <col min="9" max="9" width="12.140625" style="54" customWidth="1"/>
    <col min="10" max="10" width="13.5703125" style="54" customWidth="1"/>
    <col min="11" max="12" width="10.5703125" style="54" customWidth="1"/>
    <col min="13" max="15" width="9.85546875" style="54" customWidth="1"/>
    <col min="16" max="16" width="11.42578125" style="54" customWidth="1"/>
    <col min="17" max="17" width="51.85546875" style="54" customWidth="1"/>
    <col min="18" max="16384" width="9.140625" style="54"/>
  </cols>
  <sheetData>
    <row r="1" spans="1:20" ht="25.5" customHeight="1" x14ac:dyDescent="0.25">
      <c r="A1" s="56" t="s">
        <v>126</v>
      </c>
      <c r="E1" s="69" t="s">
        <v>131</v>
      </c>
      <c r="H1" s="75" t="s">
        <v>44</v>
      </c>
      <c r="I1"/>
      <c r="J1"/>
      <c r="K1" s="26"/>
      <c r="M1" s="76" t="s">
        <v>157</v>
      </c>
      <c r="N1" s="76"/>
      <c r="O1" s="76"/>
      <c r="P1" s="76"/>
      <c r="Q1" s="76"/>
    </row>
    <row r="2" spans="1:20" ht="15.75" thickBot="1" x14ac:dyDescent="0.3"/>
    <row r="3" spans="1:20" ht="15.75" thickBot="1" x14ac:dyDescent="0.3">
      <c r="A3" s="55" t="s">
        <v>89</v>
      </c>
      <c r="B3" s="72" t="s">
        <v>207</v>
      </c>
      <c r="C3" s="73" t="s">
        <v>90</v>
      </c>
      <c r="D3" s="249" t="s">
        <v>197</v>
      </c>
      <c r="E3" s="250"/>
      <c r="F3" s="250"/>
      <c r="G3" s="250"/>
      <c r="H3" s="250"/>
      <c r="I3" s="250"/>
      <c r="J3" s="250"/>
      <c r="K3" s="250"/>
      <c r="L3" s="250"/>
      <c r="M3" s="250"/>
      <c r="N3" s="250"/>
      <c r="O3" s="250"/>
      <c r="P3" s="250"/>
      <c r="Q3" s="251"/>
      <c r="R3"/>
      <c r="S3"/>
      <c r="T3"/>
    </row>
    <row r="4" spans="1:20" ht="15.75" thickBot="1" x14ac:dyDescent="0.3">
      <c r="C4" s="23" t="s">
        <v>155</v>
      </c>
      <c r="D4" s="249" t="s">
        <v>210</v>
      </c>
      <c r="E4" s="250"/>
      <c r="F4" s="250"/>
      <c r="G4" s="250"/>
      <c r="H4" s="250"/>
      <c r="I4" s="250"/>
      <c r="J4" s="250"/>
      <c r="K4" s="250"/>
      <c r="L4" s="250"/>
      <c r="M4" s="250"/>
      <c r="N4" s="250"/>
      <c r="O4" s="250"/>
      <c r="P4" s="250"/>
      <c r="Q4" s="251"/>
      <c r="R4"/>
      <c r="S4"/>
      <c r="T4"/>
    </row>
    <row r="5" spans="1:20" ht="15.75" thickBot="1" x14ac:dyDescent="0.3">
      <c r="C5" s="23" t="s">
        <v>52</v>
      </c>
      <c r="D5" s="249" t="s">
        <v>163</v>
      </c>
      <c r="E5" s="250"/>
      <c r="F5" s="250"/>
      <c r="G5" s="250"/>
      <c r="H5" s="250"/>
      <c r="I5" s="250"/>
      <c r="J5" s="250"/>
      <c r="K5" s="250"/>
      <c r="L5" s="250"/>
      <c r="M5" s="250"/>
      <c r="N5" s="250"/>
      <c r="O5" s="250"/>
      <c r="P5" s="250"/>
      <c r="Q5" s="251"/>
      <c r="R5"/>
      <c r="S5"/>
      <c r="T5"/>
    </row>
    <row r="6" spans="1:20" ht="15.75" thickBot="1" x14ac:dyDescent="0.3">
      <c r="C6" s="23" t="s">
        <v>164</v>
      </c>
      <c r="D6" s="249" t="s">
        <v>165</v>
      </c>
      <c r="E6" s="250"/>
      <c r="F6" s="250"/>
      <c r="G6" s="250"/>
      <c r="H6" s="250"/>
      <c r="I6" s="250"/>
      <c r="J6" s="250"/>
      <c r="K6" s="250"/>
      <c r="L6" s="250"/>
      <c r="M6" s="250"/>
      <c r="N6" s="250"/>
      <c r="O6" s="250"/>
      <c r="P6" s="250"/>
      <c r="Q6" s="251"/>
      <c r="R6"/>
      <c r="S6"/>
      <c r="T6"/>
    </row>
    <row r="7" spans="1:20" ht="15.75" thickBot="1" x14ac:dyDescent="0.3">
      <c r="A7" s="55" t="s">
        <v>172</v>
      </c>
      <c r="B7" s="93" t="s">
        <v>167</v>
      </c>
      <c r="C7" s="23"/>
      <c r="D7" s="23"/>
      <c r="E7" s="23"/>
      <c r="F7" s="23"/>
      <c r="G7" s="23"/>
      <c r="H7" s="23"/>
      <c r="I7" s="23"/>
      <c r="J7" s="23"/>
      <c r="K7" s="23"/>
      <c r="L7" s="23"/>
      <c r="M7" s="23"/>
      <c r="N7" s="23"/>
      <c r="O7" s="23"/>
      <c r="P7" s="23"/>
      <c r="Q7" s="23"/>
      <c r="R7"/>
      <c r="S7"/>
      <c r="T7"/>
    </row>
    <row r="8" spans="1:20" ht="18" x14ac:dyDescent="0.25">
      <c r="F8" s="82" t="s">
        <v>117</v>
      </c>
      <c r="H8" s="83" t="s">
        <v>159</v>
      </c>
      <c r="I8" s="83" t="s">
        <v>125</v>
      </c>
      <c r="J8" s="83" t="s">
        <v>33</v>
      </c>
      <c r="K8" s="82" t="s">
        <v>114</v>
      </c>
      <c r="L8" s="82" t="s">
        <v>115</v>
      </c>
      <c r="M8" s="82" t="s">
        <v>116</v>
      </c>
      <c r="N8" s="82" t="s">
        <v>130</v>
      </c>
      <c r="O8" s="82" t="s">
        <v>194</v>
      </c>
      <c r="P8" s="82" t="s">
        <v>193</v>
      </c>
      <c r="Q8"/>
      <c r="R8"/>
      <c r="S8"/>
      <c r="T8"/>
    </row>
    <row r="9" spans="1:20" ht="17.25" x14ac:dyDescent="0.25">
      <c r="A9" s="55" t="s">
        <v>111</v>
      </c>
      <c r="E9" s="55" t="s">
        <v>107</v>
      </c>
      <c r="F9" s="184">
        <f>ROUND(SUM(λDD,λDU,λSD,λSU),SigFigs-1-INT(LOG10(SUM(λDD,λDU,λSD,λSU))))</f>
        <v>3000</v>
      </c>
      <c r="G9" s="68"/>
      <c r="H9" s="183">
        <f>λDD/λD</f>
        <v>5.6000000000000001E-2</v>
      </c>
      <c r="I9" s="183">
        <f>(λDD+λSU+λSD)/λ</f>
        <v>0.24666666666666667</v>
      </c>
      <c r="J9" s="183">
        <f>1-λDN/λDU</f>
        <v>0.97826086956521741</v>
      </c>
      <c r="K9" s="184">
        <f>ROUND(SUM(λD_FITS),SigFigs-1-INT(LOG10(SUM(λD_FITS,1))))</f>
        <v>2500</v>
      </c>
      <c r="L9" s="184">
        <f>ROUND(SUM(λDD_FITS),SigFigs-1-INT(LOG10(SUM(λDD_FITS,1))))</f>
        <v>140</v>
      </c>
      <c r="M9" s="184">
        <f>ROUND(SUM(λDU_FITS),SigFigs-1-INT(LOG10(SUM(λDU_FITS,1))))</f>
        <v>2300</v>
      </c>
      <c r="N9" s="184">
        <f>ROUND(SUM(λDN_FITS),SigFigs-1-INT(LOG10(SUM(λDN_FITS,1))))</f>
        <v>50</v>
      </c>
      <c r="O9" s="184">
        <f>ROUND(SUM(λSD_FITS),SigFigs-1-INT(LOG10(SUM(λSD_FITS,1))))</f>
        <v>140</v>
      </c>
      <c r="P9" s="184">
        <f>ROUND(SUM(λSU_FITS),SigFigs-1-INT(LOG10(SUM(λSU_FITS,1))))</f>
        <v>460</v>
      </c>
      <c r="Q9"/>
      <c r="R9"/>
      <c r="S9"/>
      <c r="T9"/>
    </row>
    <row r="10" spans="1:20" x14ac:dyDescent="0.25">
      <c r="R10"/>
      <c r="S10"/>
      <c r="T10"/>
    </row>
    <row r="11" spans="1:20" s="58" customFormat="1" ht="51" x14ac:dyDescent="0.25">
      <c r="A11" s="57" t="s">
        <v>91</v>
      </c>
      <c r="B11" s="57" t="s">
        <v>92</v>
      </c>
      <c r="C11" s="57" t="s">
        <v>93</v>
      </c>
      <c r="D11" s="57" t="s">
        <v>94</v>
      </c>
      <c r="E11" s="57" t="s">
        <v>95</v>
      </c>
      <c r="F11" s="57" t="s">
        <v>109</v>
      </c>
      <c r="G11" s="57" t="s">
        <v>105</v>
      </c>
      <c r="H11" s="57" t="s">
        <v>119</v>
      </c>
      <c r="I11" s="57" t="s">
        <v>96</v>
      </c>
      <c r="J11" s="57" t="s">
        <v>129</v>
      </c>
      <c r="K11" s="59" t="s">
        <v>114</v>
      </c>
      <c r="L11" s="59" t="s">
        <v>115</v>
      </c>
      <c r="M11" s="59" t="s">
        <v>116</v>
      </c>
      <c r="N11" s="59" t="s">
        <v>130</v>
      </c>
      <c r="O11" s="59" t="s">
        <v>194</v>
      </c>
      <c r="P11" s="59" t="s">
        <v>193</v>
      </c>
      <c r="Q11" s="57" t="s">
        <v>98</v>
      </c>
    </row>
    <row r="12" spans="1:20" ht="30" x14ac:dyDescent="0.25">
      <c r="A12" s="74">
        <v>1</v>
      </c>
      <c r="B12" s="74" t="s">
        <v>195</v>
      </c>
      <c r="C12" s="77" t="s">
        <v>60</v>
      </c>
      <c r="D12" s="74" t="s">
        <v>196</v>
      </c>
      <c r="E12" s="74"/>
      <c r="F12" s="78">
        <v>300</v>
      </c>
      <c r="G12" s="74"/>
      <c r="H12" s="80">
        <v>0</v>
      </c>
      <c r="I12" s="80">
        <v>1</v>
      </c>
      <c r="J12" s="80">
        <v>1</v>
      </c>
      <c r="K12" s="185">
        <f t="shared" ref="K12:K41" si="0">F12*I12</f>
        <v>300</v>
      </c>
      <c r="L12" s="185">
        <f t="shared" ref="L12:L41" si="1">K12*H12</f>
        <v>0</v>
      </c>
      <c r="M12" s="185">
        <f>(K12-L12)</f>
        <v>300</v>
      </c>
      <c r="N12" s="185">
        <f>(K12-L12)*(1-J12)</f>
        <v>0</v>
      </c>
      <c r="O12" s="185">
        <f>(F12-K12)*H12</f>
        <v>0</v>
      </c>
      <c r="P12" s="185">
        <f>(F12-K12)*(1-H12)</f>
        <v>0</v>
      </c>
      <c r="Q12" s="74"/>
    </row>
    <row r="13" spans="1:20" ht="30" x14ac:dyDescent="0.25">
      <c r="A13" s="74">
        <v>2</v>
      </c>
      <c r="B13" s="74" t="s">
        <v>195</v>
      </c>
      <c r="C13" s="77" t="s">
        <v>62</v>
      </c>
      <c r="D13" s="74" t="s">
        <v>200</v>
      </c>
      <c r="E13" s="74"/>
      <c r="F13" s="78">
        <v>10</v>
      </c>
      <c r="G13" s="74"/>
      <c r="H13" s="80">
        <v>0</v>
      </c>
      <c r="I13" s="80">
        <v>0</v>
      </c>
      <c r="J13" s="80">
        <v>1</v>
      </c>
      <c r="K13" s="185">
        <f t="shared" si="0"/>
        <v>0</v>
      </c>
      <c r="L13" s="185">
        <f t="shared" si="1"/>
        <v>0</v>
      </c>
      <c r="M13" s="185">
        <f t="shared" ref="M13:M41" si="2">K13-L13</f>
        <v>0</v>
      </c>
      <c r="N13" s="185">
        <f t="shared" ref="N13:N41" si="3">(K13-L13)*(1-J13)</f>
        <v>0</v>
      </c>
      <c r="O13" s="185">
        <f t="shared" ref="O13:O41" si="4">(F13-K13)*H13</f>
        <v>0</v>
      </c>
      <c r="P13" s="185">
        <f>(F13-K13)*(1-H13)</f>
        <v>10</v>
      </c>
      <c r="Q13" s="74"/>
    </row>
    <row r="14" spans="1:20" ht="30" x14ac:dyDescent="0.25">
      <c r="A14" s="74">
        <v>3</v>
      </c>
      <c r="B14" s="74" t="s">
        <v>195</v>
      </c>
      <c r="C14" s="77" t="s">
        <v>66</v>
      </c>
      <c r="D14" s="74" t="s">
        <v>199</v>
      </c>
      <c r="E14" s="74" t="s">
        <v>198</v>
      </c>
      <c r="F14" s="79">
        <v>100</v>
      </c>
      <c r="G14" s="74"/>
      <c r="H14" s="81">
        <v>0</v>
      </c>
      <c r="I14" s="80">
        <v>0</v>
      </c>
      <c r="J14" s="80">
        <v>0</v>
      </c>
      <c r="K14" s="185">
        <f t="shared" si="0"/>
        <v>0</v>
      </c>
      <c r="L14" s="185">
        <f t="shared" si="1"/>
        <v>0</v>
      </c>
      <c r="M14" s="185">
        <f t="shared" si="2"/>
        <v>0</v>
      </c>
      <c r="N14" s="185">
        <f t="shared" si="3"/>
        <v>0</v>
      </c>
      <c r="O14" s="185">
        <f t="shared" si="4"/>
        <v>0</v>
      </c>
      <c r="P14" s="185">
        <f>(F14-K14)*(1-H14)</f>
        <v>100</v>
      </c>
      <c r="Q14" s="74"/>
    </row>
    <row r="15" spans="1:20" ht="30" x14ac:dyDescent="0.25">
      <c r="A15" s="74">
        <v>4</v>
      </c>
      <c r="B15" s="74" t="s">
        <v>201</v>
      </c>
      <c r="C15" s="77" t="s">
        <v>60</v>
      </c>
      <c r="D15" s="74" t="s">
        <v>196</v>
      </c>
      <c r="E15" s="74"/>
      <c r="F15" s="79">
        <v>300</v>
      </c>
      <c r="G15" s="74"/>
      <c r="H15" s="80">
        <v>0</v>
      </c>
      <c r="I15" s="80">
        <v>1</v>
      </c>
      <c r="J15" s="80">
        <v>1</v>
      </c>
      <c r="K15" s="185">
        <f t="shared" si="0"/>
        <v>300</v>
      </c>
      <c r="L15" s="185">
        <f t="shared" si="1"/>
        <v>0</v>
      </c>
      <c r="M15" s="185">
        <f t="shared" si="2"/>
        <v>300</v>
      </c>
      <c r="N15" s="185">
        <f t="shared" si="3"/>
        <v>0</v>
      </c>
      <c r="O15" s="185">
        <f t="shared" si="4"/>
        <v>0</v>
      </c>
      <c r="P15" s="185">
        <f t="shared" ref="P15:P41" si="5">(F15-K15)*(1-H15)</f>
        <v>0</v>
      </c>
      <c r="Q15" s="74"/>
    </row>
    <row r="16" spans="1:20" ht="30" x14ac:dyDescent="0.25">
      <c r="A16" s="74">
        <v>5</v>
      </c>
      <c r="B16" s="74" t="s">
        <v>201</v>
      </c>
      <c r="C16" s="77" t="s">
        <v>62</v>
      </c>
      <c r="D16" s="74" t="s">
        <v>200</v>
      </c>
      <c r="E16" s="74"/>
      <c r="F16" s="79">
        <v>30</v>
      </c>
      <c r="G16" s="74"/>
      <c r="H16" s="81">
        <v>0</v>
      </c>
      <c r="I16" s="80">
        <v>0</v>
      </c>
      <c r="J16" s="80">
        <v>1</v>
      </c>
      <c r="K16" s="185">
        <f t="shared" si="0"/>
        <v>0</v>
      </c>
      <c r="L16" s="185">
        <f t="shared" si="1"/>
        <v>0</v>
      </c>
      <c r="M16" s="185">
        <f t="shared" si="2"/>
        <v>0</v>
      </c>
      <c r="N16" s="185">
        <f t="shared" si="3"/>
        <v>0</v>
      </c>
      <c r="O16" s="185">
        <f t="shared" si="4"/>
        <v>0</v>
      </c>
      <c r="P16" s="185">
        <f t="shared" si="5"/>
        <v>30</v>
      </c>
      <c r="Q16" s="74"/>
    </row>
    <row r="17" spans="1:17" ht="45" x14ac:dyDescent="0.25">
      <c r="A17" s="74">
        <v>6</v>
      </c>
      <c r="B17" s="74" t="s">
        <v>201</v>
      </c>
      <c r="C17" s="77" t="s">
        <v>79</v>
      </c>
      <c r="D17" s="74" t="s">
        <v>202</v>
      </c>
      <c r="E17" s="74" t="s">
        <v>81</v>
      </c>
      <c r="F17" s="79">
        <v>300</v>
      </c>
      <c r="G17" s="74"/>
      <c r="H17" s="81">
        <v>0</v>
      </c>
      <c r="I17" s="80">
        <v>1</v>
      </c>
      <c r="J17" s="80">
        <v>1</v>
      </c>
      <c r="K17" s="185">
        <f t="shared" si="0"/>
        <v>300</v>
      </c>
      <c r="L17" s="185">
        <f t="shared" si="1"/>
        <v>0</v>
      </c>
      <c r="M17" s="185">
        <f t="shared" si="2"/>
        <v>300</v>
      </c>
      <c r="N17" s="185">
        <f t="shared" si="3"/>
        <v>0</v>
      </c>
      <c r="O17" s="185">
        <f t="shared" si="4"/>
        <v>0</v>
      </c>
      <c r="P17" s="185">
        <f t="shared" si="5"/>
        <v>0</v>
      </c>
      <c r="Q17" s="74"/>
    </row>
    <row r="18" spans="1:17" ht="30" x14ac:dyDescent="0.25">
      <c r="A18" s="74">
        <v>7</v>
      </c>
      <c r="B18" s="74" t="s">
        <v>204</v>
      </c>
      <c r="C18" s="77" t="s">
        <v>60</v>
      </c>
      <c r="D18" s="74" t="s">
        <v>196</v>
      </c>
      <c r="E18" s="74"/>
      <c r="F18" s="78">
        <v>1000</v>
      </c>
      <c r="G18" s="74"/>
      <c r="H18" s="80">
        <v>0</v>
      </c>
      <c r="I18" s="80">
        <v>1</v>
      </c>
      <c r="J18" s="80">
        <v>1</v>
      </c>
      <c r="K18" s="185">
        <f t="shared" si="0"/>
        <v>1000</v>
      </c>
      <c r="L18" s="185">
        <f t="shared" si="1"/>
        <v>0</v>
      </c>
      <c r="M18" s="185">
        <f t="shared" si="2"/>
        <v>1000</v>
      </c>
      <c r="N18" s="185">
        <f t="shared" si="3"/>
        <v>0</v>
      </c>
      <c r="O18" s="185">
        <f t="shared" si="4"/>
        <v>0</v>
      </c>
      <c r="P18" s="185">
        <f t="shared" si="5"/>
        <v>0</v>
      </c>
      <c r="Q18" s="74"/>
    </row>
    <row r="19" spans="1:17" ht="30" x14ac:dyDescent="0.25">
      <c r="A19" s="74">
        <v>8</v>
      </c>
      <c r="B19" s="74" t="s">
        <v>204</v>
      </c>
      <c r="C19" s="77" t="s">
        <v>62</v>
      </c>
      <c r="D19" s="74" t="s">
        <v>200</v>
      </c>
      <c r="E19" s="74"/>
      <c r="F19" s="78">
        <v>100</v>
      </c>
      <c r="G19" s="74"/>
      <c r="H19" s="80">
        <v>0</v>
      </c>
      <c r="I19" s="80">
        <v>0</v>
      </c>
      <c r="J19" s="80">
        <v>1</v>
      </c>
      <c r="K19" s="185">
        <f t="shared" si="0"/>
        <v>0</v>
      </c>
      <c r="L19" s="185">
        <f t="shared" si="1"/>
        <v>0</v>
      </c>
      <c r="M19" s="185">
        <f t="shared" si="2"/>
        <v>0</v>
      </c>
      <c r="N19" s="185">
        <f t="shared" si="3"/>
        <v>0</v>
      </c>
      <c r="O19" s="185">
        <f t="shared" si="4"/>
        <v>0</v>
      </c>
      <c r="P19" s="185">
        <f t="shared" si="5"/>
        <v>100</v>
      </c>
      <c r="Q19" s="74"/>
    </row>
    <row r="20" spans="1:17" ht="45" x14ac:dyDescent="0.25">
      <c r="A20" s="74">
        <v>9</v>
      </c>
      <c r="B20" s="74" t="s">
        <v>204</v>
      </c>
      <c r="C20" s="77" t="s">
        <v>79</v>
      </c>
      <c r="D20" s="74" t="s">
        <v>202</v>
      </c>
      <c r="E20" s="74"/>
      <c r="F20" s="78">
        <v>300</v>
      </c>
      <c r="G20" s="74"/>
      <c r="H20" s="80">
        <v>0</v>
      </c>
      <c r="I20" s="80">
        <v>1</v>
      </c>
      <c r="J20" s="80">
        <v>1</v>
      </c>
      <c r="K20" s="185">
        <f t="shared" si="0"/>
        <v>300</v>
      </c>
      <c r="L20" s="185">
        <f t="shared" si="1"/>
        <v>0</v>
      </c>
      <c r="M20" s="185">
        <f t="shared" si="2"/>
        <v>300</v>
      </c>
      <c r="N20" s="185">
        <f t="shared" si="3"/>
        <v>0</v>
      </c>
      <c r="O20" s="185">
        <f t="shared" si="4"/>
        <v>0</v>
      </c>
      <c r="P20" s="185">
        <f t="shared" si="5"/>
        <v>0</v>
      </c>
      <c r="Q20" s="74"/>
    </row>
    <row r="21" spans="1:17" ht="30" x14ac:dyDescent="0.25">
      <c r="A21" s="74">
        <v>10</v>
      </c>
      <c r="B21" s="74" t="s">
        <v>204</v>
      </c>
      <c r="C21" s="77" t="s">
        <v>187</v>
      </c>
      <c r="D21" s="74" t="s">
        <v>196</v>
      </c>
      <c r="E21" s="74" t="s">
        <v>205</v>
      </c>
      <c r="F21" s="78">
        <v>100</v>
      </c>
      <c r="G21" s="74"/>
      <c r="H21" s="80">
        <v>0</v>
      </c>
      <c r="I21" s="80">
        <v>1</v>
      </c>
      <c r="J21" s="80">
        <v>0.5</v>
      </c>
      <c r="K21" s="185">
        <f t="shared" si="0"/>
        <v>100</v>
      </c>
      <c r="L21" s="185">
        <f t="shared" si="1"/>
        <v>0</v>
      </c>
      <c r="M21" s="185">
        <f t="shared" si="2"/>
        <v>100</v>
      </c>
      <c r="N21" s="185">
        <f t="shared" si="3"/>
        <v>50</v>
      </c>
      <c r="O21" s="185">
        <f t="shared" si="4"/>
        <v>0</v>
      </c>
      <c r="P21" s="185">
        <f t="shared" si="5"/>
        <v>0</v>
      </c>
      <c r="Q21" s="74" t="s">
        <v>206</v>
      </c>
    </row>
    <row r="22" spans="1:17" ht="30" x14ac:dyDescent="0.25">
      <c r="A22" s="74">
        <v>11</v>
      </c>
      <c r="B22" s="74" t="s">
        <v>104</v>
      </c>
      <c r="C22" s="77" t="s">
        <v>66</v>
      </c>
      <c r="D22" s="74" t="s">
        <v>199</v>
      </c>
      <c r="E22" s="74"/>
      <c r="F22" s="78">
        <v>100</v>
      </c>
      <c r="G22" s="74"/>
      <c r="H22" s="80">
        <v>0</v>
      </c>
      <c r="I22" s="80">
        <v>0</v>
      </c>
      <c r="J22" s="80">
        <v>1</v>
      </c>
      <c r="K22" s="185">
        <f t="shared" si="0"/>
        <v>0</v>
      </c>
      <c r="L22" s="185">
        <f t="shared" si="1"/>
        <v>0</v>
      </c>
      <c r="M22" s="185">
        <f t="shared" si="2"/>
        <v>0</v>
      </c>
      <c r="N22" s="185">
        <f t="shared" si="3"/>
        <v>0</v>
      </c>
      <c r="O22" s="185">
        <f t="shared" si="4"/>
        <v>0</v>
      </c>
      <c r="P22" s="185">
        <f t="shared" si="5"/>
        <v>100</v>
      </c>
      <c r="Q22" s="74"/>
    </row>
    <row r="23" spans="1:17" ht="30" x14ac:dyDescent="0.25">
      <c r="A23" s="74">
        <v>12</v>
      </c>
      <c r="B23" s="74" t="s">
        <v>104</v>
      </c>
      <c r="C23" s="77" t="s">
        <v>68</v>
      </c>
      <c r="D23" s="74" t="s">
        <v>199</v>
      </c>
      <c r="E23" s="74"/>
      <c r="F23" s="78">
        <v>100</v>
      </c>
      <c r="G23" s="74"/>
      <c r="H23" s="80">
        <v>0</v>
      </c>
      <c r="I23" s="80">
        <v>0</v>
      </c>
      <c r="J23" s="80">
        <v>1</v>
      </c>
      <c r="K23" s="185">
        <f t="shared" si="0"/>
        <v>0</v>
      </c>
      <c r="L23" s="185">
        <f t="shared" si="1"/>
        <v>0</v>
      </c>
      <c r="M23" s="185">
        <f t="shared" si="2"/>
        <v>0</v>
      </c>
      <c r="N23" s="185">
        <f t="shared" si="3"/>
        <v>0</v>
      </c>
      <c r="O23" s="185">
        <f t="shared" si="4"/>
        <v>0</v>
      </c>
      <c r="P23" s="185">
        <f t="shared" si="5"/>
        <v>100</v>
      </c>
      <c r="Q23" s="74"/>
    </row>
    <row r="24" spans="1:17" ht="60" x14ac:dyDescent="0.25">
      <c r="A24" s="74">
        <v>13</v>
      </c>
      <c r="B24" s="74" t="s">
        <v>203</v>
      </c>
      <c r="C24" s="77" t="s">
        <v>187</v>
      </c>
      <c r="D24" s="74" t="s">
        <v>189</v>
      </c>
      <c r="E24" s="74"/>
      <c r="F24" s="78">
        <v>300</v>
      </c>
      <c r="G24" s="74" t="s">
        <v>190</v>
      </c>
      <c r="H24" s="80">
        <v>0.9</v>
      </c>
      <c r="I24" s="80">
        <v>0.5</v>
      </c>
      <c r="J24" s="80">
        <v>1</v>
      </c>
      <c r="K24" s="185">
        <f t="shared" si="0"/>
        <v>150</v>
      </c>
      <c r="L24" s="185">
        <f t="shared" si="1"/>
        <v>135</v>
      </c>
      <c r="M24" s="185">
        <f t="shared" si="2"/>
        <v>15</v>
      </c>
      <c r="N24" s="185">
        <f t="shared" si="3"/>
        <v>0</v>
      </c>
      <c r="O24" s="185">
        <f t="shared" si="4"/>
        <v>135</v>
      </c>
      <c r="P24" s="185">
        <f t="shared" si="5"/>
        <v>14.999999999999996</v>
      </c>
      <c r="Q24" s="74"/>
    </row>
    <row r="25" spans="1:17" x14ac:dyDescent="0.25">
      <c r="A25" s="74">
        <v>14</v>
      </c>
      <c r="B25" s="74"/>
      <c r="C25" s="77"/>
      <c r="D25" s="74"/>
      <c r="E25" s="74"/>
      <c r="F25" s="78"/>
      <c r="G25" s="74"/>
      <c r="H25" s="80"/>
      <c r="I25" s="80"/>
      <c r="J25" s="80"/>
      <c r="K25" s="185">
        <f t="shared" si="0"/>
        <v>0</v>
      </c>
      <c r="L25" s="185">
        <f t="shared" si="1"/>
        <v>0</v>
      </c>
      <c r="M25" s="185">
        <f t="shared" si="2"/>
        <v>0</v>
      </c>
      <c r="N25" s="185">
        <f t="shared" si="3"/>
        <v>0</v>
      </c>
      <c r="O25" s="185">
        <f t="shared" si="4"/>
        <v>0</v>
      </c>
      <c r="P25" s="185">
        <f t="shared" si="5"/>
        <v>0</v>
      </c>
      <c r="Q25" s="74"/>
    </row>
    <row r="26" spans="1:17" x14ac:dyDescent="0.25">
      <c r="A26" s="74">
        <v>15</v>
      </c>
      <c r="B26" s="74"/>
      <c r="C26" s="77"/>
      <c r="D26" s="74"/>
      <c r="E26" s="74"/>
      <c r="F26" s="78"/>
      <c r="G26" s="74"/>
      <c r="H26" s="80"/>
      <c r="I26" s="80"/>
      <c r="J26" s="80"/>
      <c r="K26" s="185">
        <f t="shared" si="0"/>
        <v>0</v>
      </c>
      <c r="L26" s="185">
        <f t="shared" si="1"/>
        <v>0</v>
      </c>
      <c r="M26" s="185">
        <f t="shared" si="2"/>
        <v>0</v>
      </c>
      <c r="N26" s="185">
        <f t="shared" si="3"/>
        <v>0</v>
      </c>
      <c r="O26" s="185">
        <f t="shared" si="4"/>
        <v>0</v>
      </c>
      <c r="P26" s="185">
        <f t="shared" si="5"/>
        <v>0</v>
      </c>
      <c r="Q26" s="74"/>
    </row>
    <row r="27" spans="1:17" x14ac:dyDescent="0.25">
      <c r="A27" s="74">
        <v>16</v>
      </c>
      <c r="B27" s="74"/>
      <c r="C27" s="77"/>
      <c r="D27" s="74"/>
      <c r="E27" s="74"/>
      <c r="F27" s="78"/>
      <c r="G27" s="74"/>
      <c r="H27" s="80"/>
      <c r="I27" s="80"/>
      <c r="J27" s="80"/>
      <c r="K27" s="185">
        <f t="shared" si="0"/>
        <v>0</v>
      </c>
      <c r="L27" s="185">
        <f t="shared" si="1"/>
        <v>0</v>
      </c>
      <c r="M27" s="185">
        <f t="shared" si="2"/>
        <v>0</v>
      </c>
      <c r="N27" s="185">
        <f t="shared" si="3"/>
        <v>0</v>
      </c>
      <c r="O27" s="185">
        <f t="shared" si="4"/>
        <v>0</v>
      </c>
      <c r="P27" s="185">
        <f t="shared" si="5"/>
        <v>0</v>
      </c>
      <c r="Q27" s="74"/>
    </row>
    <row r="28" spans="1:17" x14ac:dyDescent="0.25">
      <c r="A28" s="74">
        <v>17</v>
      </c>
      <c r="B28" s="74"/>
      <c r="C28" s="77"/>
      <c r="D28" s="74"/>
      <c r="E28" s="74"/>
      <c r="F28" s="78"/>
      <c r="G28" s="74"/>
      <c r="H28" s="80"/>
      <c r="I28" s="80"/>
      <c r="J28" s="80"/>
      <c r="K28" s="185">
        <f t="shared" si="0"/>
        <v>0</v>
      </c>
      <c r="L28" s="185">
        <f t="shared" si="1"/>
        <v>0</v>
      </c>
      <c r="M28" s="185">
        <f t="shared" si="2"/>
        <v>0</v>
      </c>
      <c r="N28" s="185">
        <f t="shared" si="3"/>
        <v>0</v>
      </c>
      <c r="O28" s="185">
        <f t="shared" si="4"/>
        <v>0</v>
      </c>
      <c r="P28" s="185">
        <f t="shared" si="5"/>
        <v>0</v>
      </c>
      <c r="Q28" s="74"/>
    </row>
    <row r="29" spans="1:17" x14ac:dyDescent="0.25">
      <c r="A29" s="74">
        <v>18</v>
      </c>
      <c r="B29" s="74"/>
      <c r="C29" s="77"/>
      <c r="D29" s="74"/>
      <c r="E29" s="74"/>
      <c r="F29" s="78"/>
      <c r="G29" s="74"/>
      <c r="H29" s="80"/>
      <c r="I29" s="80"/>
      <c r="J29" s="80"/>
      <c r="K29" s="185">
        <f t="shared" si="0"/>
        <v>0</v>
      </c>
      <c r="L29" s="185">
        <f t="shared" si="1"/>
        <v>0</v>
      </c>
      <c r="M29" s="185">
        <f t="shared" si="2"/>
        <v>0</v>
      </c>
      <c r="N29" s="185">
        <f t="shared" si="3"/>
        <v>0</v>
      </c>
      <c r="O29" s="185">
        <f t="shared" si="4"/>
        <v>0</v>
      </c>
      <c r="P29" s="185">
        <f t="shared" si="5"/>
        <v>0</v>
      </c>
      <c r="Q29" s="74"/>
    </row>
    <row r="30" spans="1:17" x14ac:dyDescent="0.25">
      <c r="A30" s="74">
        <v>19</v>
      </c>
      <c r="B30" s="74"/>
      <c r="C30" s="77"/>
      <c r="D30" s="74"/>
      <c r="E30" s="74"/>
      <c r="F30" s="78"/>
      <c r="G30" s="74"/>
      <c r="H30" s="80"/>
      <c r="I30" s="80"/>
      <c r="J30" s="80"/>
      <c r="K30" s="185">
        <f t="shared" si="0"/>
        <v>0</v>
      </c>
      <c r="L30" s="185">
        <f t="shared" si="1"/>
        <v>0</v>
      </c>
      <c r="M30" s="185">
        <f t="shared" si="2"/>
        <v>0</v>
      </c>
      <c r="N30" s="185">
        <f t="shared" si="3"/>
        <v>0</v>
      </c>
      <c r="O30" s="185">
        <f t="shared" si="4"/>
        <v>0</v>
      </c>
      <c r="P30" s="185">
        <f t="shared" si="5"/>
        <v>0</v>
      </c>
      <c r="Q30" s="74"/>
    </row>
    <row r="31" spans="1:17" x14ac:dyDescent="0.25">
      <c r="A31" s="74">
        <v>20</v>
      </c>
      <c r="B31" s="74"/>
      <c r="C31" s="77"/>
      <c r="D31" s="74"/>
      <c r="E31" s="74"/>
      <c r="F31" s="78"/>
      <c r="G31" s="74"/>
      <c r="H31" s="80"/>
      <c r="I31" s="80"/>
      <c r="J31" s="80"/>
      <c r="K31" s="185">
        <f t="shared" si="0"/>
        <v>0</v>
      </c>
      <c r="L31" s="185">
        <f t="shared" si="1"/>
        <v>0</v>
      </c>
      <c r="M31" s="185">
        <f t="shared" si="2"/>
        <v>0</v>
      </c>
      <c r="N31" s="185">
        <f t="shared" si="3"/>
        <v>0</v>
      </c>
      <c r="O31" s="185">
        <f t="shared" si="4"/>
        <v>0</v>
      </c>
      <c r="P31" s="185">
        <f t="shared" si="5"/>
        <v>0</v>
      </c>
      <c r="Q31" s="74"/>
    </row>
    <row r="32" spans="1:17" x14ac:dyDescent="0.25">
      <c r="A32" s="74">
        <v>21</v>
      </c>
      <c r="B32" s="74"/>
      <c r="C32" s="77"/>
      <c r="D32" s="74"/>
      <c r="E32" s="74"/>
      <c r="F32" s="78"/>
      <c r="G32" s="74"/>
      <c r="H32" s="80"/>
      <c r="I32" s="80"/>
      <c r="J32" s="80"/>
      <c r="K32" s="185">
        <f t="shared" si="0"/>
        <v>0</v>
      </c>
      <c r="L32" s="185">
        <f t="shared" si="1"/>
        <v>0</v>
      </c>
      <c r="M32" s="185">
        <f t="shared" si="2"/>
        <v>0</v>
      </c>
      <c r="N32" s="185">
        <f t="shared" si="3"/>
        <v>0</v>
      </c>
      <c r="O32" s="185">
        <f t="shared" si="4"/>
        <v>0</v>
      </c>
      <c r="P32" s="185">
        <f t="shared" si="5"/>
        <v>0</v>
      </c>
      <c r="Q32" s="74"/>
    </row>
    <row r="33" spans="1:17" x14ac:dyDescent="0.25">
      <c r="A33" s="74">
        <v>22</v>
      </c>
      <c r="B33" s="74"/>
      <c r="C33" s="77"/>
      <c r="D33" s="74"/>
      <c r="E33" s="74"/>
      <c r="F33" s="78"/>
      <c r="G33" s="74"/>
      <c r="H33" s="80"/>
      <c r="I33" s="80"/>
      <c r="J33" s="80"/>
      <c r="K33" s="185">
        <f t="shared" si="0"/>
        <v>0</v>
      </c>
      <c r="L33" s="185">
        <f t="shared" si="1"/>
        <v>0</v>
      </c>
      <c r="M33" s="185">
        <f t="shared" si="2"/>
        <v>0</v>
      </c>
      <c r="N33" s="185">
        <f t="shared" si="3"/>
        <v>0</v>
      </c>
      <c r="O33" s="185">
        <f t="shared" si="4"/>
        <v>0</v>
      </c>
      <c r="P33" s="185">
        <f t="shared" si="5"/>
        <v>0</v>
      </c>
      <c r="Q33" s="74"/>
    </row>
    <row r="34" spans="1:17" x14ac:dyDescent="0.25">
      <c r="A34" s="74">
        <v>23</v>
      </c>
      <c r="B34" s="74"/>
      <c r="C34" s="77"/>
      <c r="D34" s="74"/>
      <c r="E34" s="74"/>
      <c r="F34" s="78"/>
      <c r="G34" s="74"/>
      <c r="H34" s="80"/>
      <c r="I34" s="80"/>
      <c r="J34" s="80"/>
      <c r="K34" s="185">
        <f t="shared" si="0"/>
        <v>0</v>
      </c>
      <c r="L34" s="185">
        <f t="shared" si="1"/>
        <v>0</v>
      </c>
      <c r="M34" s="185">
        <f t="shared" si="2"/>
        <v>0</v>
      </c>
      <c r="N34" s="185">
        <f t="shared" si="3"/>
        <v>0</v>
      </c>
      <c r="O34" s="185">
        <f t="shared" si="4"/>
        <v>0</v>
      </c>
      <c r="P34" s="185">
        <f t="shared" si="5"/>
        <v>0</v>
      </c>
      <c r="Q34" s="74"/>
    </row>
    <row r="35" spans="1:17" x14ac:dyDescent="0.25">
      <c r="A35" s="74">
        <v>24</v>
      </c>
      <c r="B35" s="74"/>
      <c r="C35" s="77"/>
      <c r="D35" s="74"/>
      <c r="E35" s="74"/>
      <c r="F35" s="78"/>
      <c r="G35" s="74"/>
      <c r="H35" s="80"/>
      <c r="I35" s="80"/>
      <c r="J35" s="80"/>
      <c r="K35" s="185">
        <f t="shared" si="0"/>
        <v>0</v>
      </c>
      <c r="L35" s="185">
        <f t="shared" si="1"/>
        <v>0</v>
      </c>
      <c r="M35" s="185">
        <f t="shared" si="2"/>
        <v>0</v>
      </c>
      <c r="N35" s="185">
        <f t="shared" si="3"/>
        <v>0</v>
      </c>
      <c r="O35" s="185">
        <f t="shared" si="4"/>
        <v>0</v>
      </c>
      <c r="P35" s="185">
        <f t="shared" si="5"/>
        <v>0</v>
      </c>
      <c r="Q35" s="74"/>
    </row>
    <row r="36" spans="1:17" x14ac:dyDescent="0.25">
      <c r="A36" s="74">
        <v>25</v>
      </c>
      <c r="B36" s="74"/>
      <c r="C36" s="77"/>
      <c r="D36" s="74"/>
      <c r="E36" s="74"/>
      <c r="F36" s="78"/>
      <c r="G36" s="74"/>
      <c r="H36" s="80"/>
      <c r="I36" s="80"/>
      <c r="J36" s="80"/>
      <c r="K36" s="185">
        <f t="shared" si="0"/>
        <v>0</v>
      </c>
      <c r="L36" s="185">
        <f t="shared" si="1"/>
        <v>0</v>
      </c>
      <c r="M36" s="185">
        <f t="shared" si="2"/>
        <v>0</v>
      </c>
      <c r="N36" s="185">
        <f t="shared" si="3"/>
        <v>0</v>
      </c>
      <c r="O36" s="185">
        <f t="shared" si="4"/>
        <v>0</v>
      </c>
      <c r="P36" s="185">
        <f t="shared" si="5"/>
        <v>0</v>
      </c>
      <c r="Q36" s="74"/>
    </row>
    <row r="37" spans="1:17" x14ac:dyDescent="0.25">
      <c r="A37" s="74">
        <v>26</v>
      </c>
      <c r="B37" s="74"/>
      <c r="C37" s="77"/>
      <c r="D37" s="74"/>
      <c r="E37" s="74"/>
      <c r="F37" s="78"/>
      <c r="G37" s="74"/>
      <c r="H37" s="80"/>
      <c r="I37" s="80"/>
      <c r="J37" s="80"/>
      <c r="K37" s="185">
        <f t="shared" si="0"/>
        <v>0</v>
      </c>
      <c r="L37" s="185">
        <f t="shared" si="1"/>
        <v>0</v>
      </c>
      <c r="M37" s="185">
        <f t="shared" si="2"/>
        <v>0</v>
      </c>
      <c r="N37" s="185">
        <f t="shared" si="3"/>
        <v>0</v>
      </c>
      <c r="O37" s="185">
        <f t="shared" si="4"/>
        <v>0</v>
      </c>
      <c r="P37" s="185">
        <f t="shared" si="5"/>
        <v>0</v>
      </c>
      <c r="Q37" s="74"/>
    </row>
    <row r="38" spans="1:17" x14ac:dyDescent="0.25">
      <c r="A38" s="74">
        <v>27</v>
      </c>
      <c r="B38" s="74"/>
      <c r="C38" s="77"/>
      <c r="D38" s="74"/>
      <c r="E38" s="74"/>
      <c r="F38" s="78"/>
      <c r="G38" s="74"/>
      <c r="H38" s="80"/>
      <c r="I38" s="80"/>
      <c r="J38" s="80"/>
      <c r="K38" s="185">
        <f t="shared" si="0"/>
        <v>0</v>
      </c>
      <c r="L38" s="185">
        <f t="shared" si="1"/>
        <v>0</v>
      </c>
      <c r="M38" s="185">
        <f t="shared" si="2"/>
        <v>0</v>
      </c>
      <c r="N38" s="185">
        <f t="shared" si="3"/>
        <v>0</v>
      </c>
      <c r="O38" s="185">
        <f t="shared" si="4"/>
        <v>0</v>
      </c>
      <c r="P38" s="185">
        <f t="shared" si="5"/>
        <v>0</v>
      </c>
      <c r="Q38" s="74"/>
    </row>
    <row r="39" spans="1:17" x14ac:dyDescent="0.25">
      <c r="A39" s="74">
        <v>28</v>
      </c>
      <c r="B39" s="74"/>
      <c r="C39" s="77"/>
      <c r="D39" s="74"/>
      <c r="E39" s="74"/>
      <c r="F39" s="78"/>
      <c r="G39" s="74"/>
      <c r="H39" s="80"/>
      <c r="I39" s="80"/>
      <c r="J39" s="80"/>
      <c r="K39" s="185">
        <f t="shared" si="0"/>
        <v>0</v>
      </c>
      <c r="L39" s="185">
        <f t="shared" si="1"/>
        <v>0</v>
      </c>
      <c r="M39" s="185">
        <f t="shared" si="2"/>
        <v>0</v>
      </c>
      <c r="N39" s="185">
        <f t="shared" si="3"/>
        <v>0</v>
      </c>
      <c r="O39" s="185">
        <f t="shared" si="4"/>
        <v>0</v>
      </c>
      <c r="P39" s="185">
        <f t="shared" si="5"/>
        <v>0</v>
      </c>
      <c r="Q39" s="74"/>
    </row>
    <row r="40" spans="1:17" x14ac:dyDescent="0.25">
      <c r="A40" s="74">
        <v>29</v>
      </c>
      <c r="B40" s="74"/>
      <c r="C40" s="77"/>
      <c r="D40" s="74"/>
      <c r="E40" s="74"/>
      <c r="F40" s="78"/>
      <c r="G40" s="74"/>
      <c r="H40" s="80"/>
      <c r="I40" s="80"/>
      <c r="J40" s="80"/>
      <c r="K40" s="185">
        <f t="shared" si="0"/>
        <v>0</v>
      </c>
      <c r="L40" s="185">
        <f t="shared" si="1"/>
        <v>0</v>
      </c>
      <c r="M40" s="185">
        <f t="shared" si="2"/>
        <v>0</v>
      </c>
      <c r="N40" s="185">
        <f t="shared" si="3"/>
        <v>0</v>
      </c>
      <c r="O40" s="185">
        <f t="shared" si="4"/>
        <v>0</v>
      </c>
      <c r="P40" s="185">
        <f t="shared" si="5"/>
        <v>0</v>
      </c>
      <c r="Q40" s="74"/>
    </row>
    <row r="41" spans="1:17" x14ac:dyDescent="0.25">
      <c r="A41" s="74">
        <v>30</v>
      </c>
      <c r="B41" s="74"/>
      <c r="C41" s="77"/>
      <c r="D41" s="74"/>
      <c r="E41" s="74"/>
      <c r="F41" s="78"/>
      <c r="G41" s="74"/>
      <c r="H41" s="80"/>
      <c r="I41" s="80"/>
      <c r="J41" s="80"/>
      <c r="K41" s="185">
        <f t="shared" si="0"/>
        <v>0</v>
      </c>
      <c r="L41" s="185">
        <f t="shared" si="1"/>
        <v>0</v>
      </c>
      <c r="M41" s="185">
        <f t="shared" si="2"/>
        <v>0</v>
      </c>
      <c r="N41" s="185">
        <f t="shared" si="3"/>
        <v>0</v>
      </c>
      <c r="O41" s="185">
        <f t="shared" si="4"/>
        <v>0</v>
      </c>
      <c r="P41" s="185">
        <f t="shared" si="5"/>
        <v>0</v>
      </c>
      <c r="Q41" s="74"/>
    </row>
    <row r="42" spans="1:17" x14ac:dyDescent="0.25">
      <c r="A42" s="55" t="s">
        <v>156</v>
      </c>
    </row>
  </sheetData>
  <mergeCells count="4">
    <mergeCell ref="D3:Q3"/>
    <mergeCell ref="D4:Q4"/>
    <mergeCell ref="D5:Q5"/>
    <mergeCell ref="D6:Q6"/>
  </mergeCells>
  <dataValidations count="5">
    <dataValidation type="list" allowBlank="1" showInputMessage="1" showErrorMessage="1" sqref="B7" xr:uid="{2A68174B-E92A-488B-B312-76444B51C335}">
      <formula1>TypeAorB</formula1>
    </dataValidation>
    <dataValidation type="list" allowBlank="1" showInputMessage="1" showErrorMessage="1" sqref="I12:I41" xr:uid="{703452A8-7FF8-4790-8069-360C794DCE48}">
      <formula1>Dangerous_fraction</formula1>
    </dataValidation>
    <dataValidation type="list" allowBlank="1" showInputMessage="1" showErrorMessage="1" sqref="C12:C41" xr:uid="{AEF7210E-05D9-44F8-9CD9-C364C904BA8D}">
      <formula1>Modes</formula1>
    </dataValidation>
    <dataValidation type="list" allowBlank="1" showInputMessage="1" showErrorMessage="1" sqref="F12:F41" xr:uid="{2C82A9C7-1605-4941-9496-98ED4E3D73AB}">
      <formula1>FreqFITS</formula1>
    </dataValidation>
    <dataValidation type="list" allowBlank="1" showInputMessage="1" showErrorMessage="1" sqref="J12:J41 H12:H41" xr:uid="{B70D0C9B-86C9-44A9-A9DB-80E10E9A769C}">
      <formula1>Detectability</formula1>
    </dataValidation>
  </dataValidations>
  <pageMargins left="0.70866141732283472" right="0.70866141732283472" top="0.74803149606299213" bottom="0.74803149606299213" header="0.31496062992125984" footer="0.31496062992125984"/>
  <pageSetup paperSize="8" scale="72" orientation="landscape" r:id="rId1"/>
  <headerFooter>
    <oddFooter xml:space="preserve">&amp;LThis Document: &amp;F-&amp;A
&amp;K00-045Form: PROJFM55 Rev 0, Jul 18&amp;CI&amp;&amp;E Systems Pty Ltd
&amp;RPrinted: &amp;D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0B54-84CE-41DD-8D6C-9CF4A62C369F}">
  <dimension ref="A1:J10"/>
  <sheetViews>
    <sheetView workbookViewId="0">
      <selection activeCell="B6" sqref="B6"/>
    </sheetView>
  </sheetViews>
  <sheetFormatPr defaultRowHeight="15" x14ac:dyDescent="0.25"/>
  <cols>
    <col min="1" max="1" width="37.85546875" customWidth="1"/>
    <col min="2" max="2" width="12.28515625" customWidth="1"/>
    <col min="3" max="3" width="6.42578125" customWidth="1"/>
    <col min="4" max="4" width="16.28515625" customWidth="1"/>
    <col min="5" max="5" width="13.5703125" customWidth="1"/>
    <col min="6" max="6" width="16.42578125" customWidth="1"/>
    <col min="7" max="7" width="16.5703125" customWidth="1"/>
    <col min="8" max="8" width="17.5703125" customWidth="1"/>
  </cols>
  <sheetData>
    <row r="1" spans="1:10" ht="20.25" x14ac:dyDescent="0.25">
      <c r="A1" s="32" t="s">
        <v>45</v>
      </c>
      <c r="E1" s="23"/>
      <c r="F1" s="16"/>
      <c r="G1" s="14"/>
      <c r="H1" s="14"/>
    </row>
    <row r="4" spans="1:10" x14ac:dyDescent="0.25">
      <c r="D4" s="39" t="s">
        <v>49</v>
      </c>
    </row>
    <row r="5" spans="1:10" ht="43.5" customHeight="1" x14ac:dyDescent="0.25">
      <c r="A5" s="39" t="s">
        <v>44</v>
      </c>
      <c r="D5" s="40" t="s">
        <v>46</v>
      </c>
      <c r="E5" s="40" t="s">
        <v>50</v>
      </c>
      <c r="F5" s="40" t="s">
        <v>51</v>
      </c>
      <c r="G5" s="40" t="s">
        <v>47</v>
      </c>
      <c r="H5" s="40" t="s">
        <v>48</v>
      </c>
      <c r="I5" s="36"/>
      <c r="J5" s="36"/>
    </row>
    <row r="6" spans="1:10" x14ac:dyDescent="0.25">
      <c r="A6" s="14" t="s">
        <v>46</v>
      </c>
      <c r="B6" s="208">
        <v>9.9999999999999995E-7</v>
      </c>
      <c r="D6" s="203">
        <f>B6</f>
        <v>9.9999999999999995E-7</v>
      </c>
      <c r="E6" s="203">
        <f>B6*10^6</f>
        <v>1</v>
      </c>
      <c r="F6" s="204">
        <f>B6*10^9</f>
        <v>1000</v>
      </c>
      <c r="G6" s="203">
        <f>B6*8760</f>
        <v>8.7600000000000004E-3</v>
      </c>
      <c r="H6" s="204">
        <f>1/G6</f>
        <v>114.15525114155251</v>
      </c>
    </row>
    <row r="7" spans="1:10" ht="17.25" x14ac:dyDescent="0.25">
      <c r="A7" s="14" t="s">
        <v>50</v>
      </c>
      <c r="B7" s="37">
        <v>1</v>
      </c>
      <c r="D7" s="203">
        <f>E7/10^6</f>
        <v>9.9999999999999995E-7</v>
      </c>
      <c r="E7" s="203">
        <f>B7</f>
        <v>1</v>
      </c>
      <c r="F7" s="204">
        <f>B7/10^6*10^9</f>
        <v>1000</v>
      </c>
      <c r="G7" s="203">
        <f>B7/10^6*8760</f>
        <v>8.7600000000000004E-3</v>
      </c>
      <c r="H7" s="204">
        <f>1/G7</f>
        <v>114.15525114155251</v>
      </c>
    </row>
    <row r="8" spans="1:10" ht="17.25" x14ac:dyDescent="0.25">
      <c r="A8" s="14" t="s">
        <v>51</v>
      </c>
      <c r="B8" s="38">
        <v>1000</v>
      </c>
      <c r="D8" s="203">
        <f>B8/10^9</f>
        <v>9.9999999999999995E-7</v>
      </c>
      <c r="E8" s="205">
        <f>B8/10^9*10^6</f>
        <v>1</v>
      </c>
      <c r="F8" s="204">
        <f>B8</f>
        <v>1000</v>
      </c>
      <c r="G8" s="203">
        <f>B8/10^9*8760</f>
        <v>8.7600000000000004E-3</v>
      </c>
      <c r="H8" s="204">
        <f>1/G8</f>
        <v>114.15525114155251</v>
      </c>
    </row>
    <row r="9" spans="1:10" x14ac:dyDescent="0.25">
      <c r="A9" s="14" t="s">
        <v>47</v>
      </c>
      <c r="B9" s="37">
        <v>0.01</v>
      </c>
      <c r="D9" s="206">
        <f>B9/8760</f>
        <v>1.1415525114155251E-6</v>
      </c>
      <c r="E9" s="207">
        <f>D9*10^6</f>
        <v>1.1415525114155252</v>
      </c>
      <c r="F9" s="204">
        <f>D9*10^9</f>
        <v>1141.552511415525</v>
      </c>
      <c r="G9" s="203">
        <f>B9</f>
        <v>0.01</v>
      </c>
      <c r="H9" s="204">
        <f>1/B9</f>
        <v>100</v>
      </c>
    </row>
    <row r="10" spans="1:10" x14ac:dyDescent="0.25">
      <c r="A10" s="14" t="s">
        <v>48</v>
      </c>
      <c r="B10" s="38">
        <v>100</v>
      </c>
      <c r="D10" s="206">
        <f>1/B10/8760</f>
        <v>1.1415525114155251E-6</v>
      </c>
      <c r="E10" s="207">
        <f>D10*10^6</f>
        <v>1.1415525114155252</v>
      </c>
      <c r="F10" s="204">
        <f>D10*10^9</f>
        <v>1141.552511415525</v>
      </c>
      <c r="G10" s="203">
        <f>1/B10</f>
        <v>0.01</v>
      </c>
      <c r="H10" s="204">
        <f>B10</f>
        <v>100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44BB8-19CA-4F9C-AF34-62D3EB9EA34A}">
  <dimension ref="A1:AA34"/>
  <sheetViews>
    <sheetView topLeftCell="B1" workbookViewId="0">
      <selection activeCell="R1" sqref="R1"/>
    </sheetView>
  </sheetViews>
  <sheetFormatPr defaultRowHeight="15" x14ac:dyDescent="0.25"/>
  <cols>
    <col min="1" max="1" width="13.7109375" customWidth="1"/>
    <col min="22" max="22" width="16.7109375" customWidth="1"/>
  </cols>
  <sheetData>
    <row r="1" spans="1:27" x14ac:dyDescent="0.25">
      <c r="A1" s="6" t="s">
        <v>5</v>
      </c>
      <c r="B1" s="252" t="s">
        <v>4</v>
      </c>
      <c r="C1" s="253"/>
      <c r="D1" s="253"/>
      <c r="E1" s="253"/>
      <c r="F1" s="253"/>
      <c r="G1" s="253"/>
      <c r="H1" s="253"/>
      <c r="J1" s="14" t="s">
        <v>28</v>
      </c>
      <c r="R1" s="14" t="s">
        <v>29</v>
      </c>
    </row>
    <row r="2" spans="1:27" x14ac:dyDescent="0.25">
      <c r="A2" s="4" t="s">
        <v>3</v>
      </c>
      <c r="B2" s="4">
        <v>1</v>
      </c>
      <c r="C2" s="4">
        <v>2</v>
      </c>
      <c r="D2" s="4">
        <v>3</v>
      </c>
      <c r="E2" s="4">
        <v>4</v>
      </c>
      <c r="F2" s="4">
        <v>5</v>
      </c>
      <c r="G2" s="4">
        <v>6</v>
      </c>
      <c r="H2" s="4">
        <v>7</v>
      </c>
      <c r="J2" s="4">
        <v>1</v>
      </c>
      <c r="K2" s="4">
        <v>2</v>
      </c>
      <c r="L2" s="4">
        <v>3</v>
      </c>
      <c r="M2" s="4">
        <v>4</v>
      </c>
      <c r="N2" s="4">
        <v>5</v>
      </c>
      <c r="O2" s="4">
        <v>6</v>
      </c>
      <c r="P2" s="4">
        <v>7</v>
      </c>
      <c r="R2" s="14" t="s">
        <v>14</v>
      </c>
      <c r="S2" s="14" t="s">
        <v>0</v>
      </c>
      <c r="W2" s="14" t="s">
        <v>31</v>
      </c>
      <c r="X2" s="23" t="s">
        <v>18</v>
      </c>
      <c r="Y2" s="23" t="s">
        <v>19</v>
      </c>
      <c r="Z2" s="23" t="s">
        <v>30</v>
      </c>
      <c r="AA2" s="23" t="s">
        <v>32</v>
      </c>
    </row>
    <row r="3" spans="1:27" x14ac:dyDescent="0.25">
      <c r="A3" s="4">
        <v>1</v>
      </c>
      <c r="B3" s="4"/>
      <c r="C3" s="5">
        <v>1</v>
      </c>
      <c r="D3" s="5">
        <v>0.5</v>
      </c>
      <c r="E3" s="5">
        <v>0.3</v>
      </c>
      <c r="F3" s="5">
        <v>0.2</v>
      </c>
      <c r="G3" s="5">
        <v>0.2</v>
      </c>
      <c r="H3" s="5">
        <v>0.2</v>
      </c>
      <c r="J3" s="9">
        <v>0</v>
      </c>
      <c r="K3" s="9">
        <f>C$2-$A3</f>
        <v>1</v>
      </c>
      <c r="L3" s="9">
        <f>D$2-$A3</f>
        <v>2</v>
      </c>
      <c r="M3" s="9">
        <f>E$2-$A3</f>
        <v>3</v>
      </c>
      <c r="N3" s="9">
        <f t="shared" ref="N3:P5" si="0">F$2-$A3</f>
        <v>4</v>
      </c>
      <c r="O3" s="9">
        <f t="shared" si="0"/>
        <v>5</v>
      </c>
      <c r="P3" s="9">
        <f t="shared" si="0"/>
        <v>6</v>
      </c>
      <c r="R3" t="s">
        <v>10</v>
      </c>
      <c r="S3" t="s">
        <v>8</v>
      </c>
      <c r="T3" t="s">
        <v>9</v>
      </c>
      <c r="W3" s="1">
        <v>0</v>
      </c>
      <c r="X3">
        <v>3</v>
      </c>
      <c r="Y3">
        <v>3</v>
      </c>
      <c r="Z3">
        <f>3-1+1</f>
        <v>3</v>
      </c>
      <c r="AA3">
        <v>3</v>
      </c>
    </row>
    <row r="4" spans="1:27" x14ac:dyDescent="0.25">
      <c r="A4" s="4">
        <v>2</v>
      </c>
      <c r="B4" s="4"/>
      <c r="C4" s="5"/>
      <c r="D4" s="5">
        <v>1.5</v>
      </c>
      <c r="E4" s="5">
        <v>0.6</v>
      </c>
      <c r="F4" s="5">
        <v>0.4</v>
      </c>
      <c r="G4" s="5">
        <v>0.4</v>
      </c>
      <c r="H4" s="5">
        <v>0.4</v>
      </c>
      <c r="J4" s="9"/>
      <c r="K4" s="9">
        <v>0</v>
      </c>
      <c r="L4" s="9">
        <f>D$2-$A4</f>
        <v>1</v>
      </c>
      <c r="M4" s="9">
        <f>E$2-$A4</f>
        <v>2</v>
      </c>
      <c r="N4" s="9">
        <f t="shared" si="0"/>
        <v>3</v>
      </c>
      <c r="O4" s="9">
        <f t="shared" si="0"/>
        <v>4</v>
      </c>
      <c r="P4" s="9">
        <f t="shared" si="0"/>
        <v>5</v>
      </c>
      <c r="R4" t="s">
        <v>8</v>
      </c>
      <c r="S4" t="s">
        <v>10</v>
      </c>
      <c r="T4" t="s">
        <v>11</v>
      </c>
      <c r="W4" s="1">
        <v>0.5</v>
      </c>
      <c r="X4">
        <v>1</v>
      </c>
      <c r="Y4">
        <v>3</v>
      </c>
      <c r="Z4">
        <f>3-3+1</f>
        <v>1</v>
      </c>
      <c r="AA4">
        <v>3</v>
      </c>
    </row>
    <row r="5" spans="1:27" x14ac:dyDescent="0.25">
      <c r="A5" s="4">
        <v>3</v>
      </c>
      <c r="B5" s="4"/>
      <c r="C5" s="5"/>
      <c r="D5" s="5"/>
      <c r="E5" s="5">
        <v>1.75</v>
      </c>
      <c r="F5" s="5">
        <v>0.8</v>
      </c>
      <c r="G5" s="5">
        <v>0.8</v>
      </c>
      <c r="H5" s="5">
        <v>0.8</v>
      </c>
      <c r="I5" s="14"/>
      <c r="J5" s="9"/>
      <c r="K5" s="9"/>
      <c r="L5" s="9">
        <v>0</v>
      </c>
      <c r="M5" s="9">
        <f>E$2-$A5</f>
        <v>1</v>
      </c>
      <c r="N5" s="9">
        <f t="shared" si="0"/>
        <v>2</v>
      </c>
      <c r="O5" s="9">
        <f t="shared" si="0"/>
        <v>3</v>
      </c>
      <c r="P5" s="9">
        <f t="shared" si="0"/>
        <v>4</v>
      </c>
      <c r="R5" t="s">
        <v>16</v>
      </c>
      <c r="S5" t="s">
        <v>16</v>
      </c>
      <c r="T5" t="s">
        <v>17</v>
      </c>
      <c r="W5" s="1">
        <v>1.5</v>
      </c>
      <c r="X5">
        <v>2</v>
      </c>
      <c r="Y5">
        <v>3</v>
      </c>
      <c r="Z5">
        <f>3-2+1</f>
        <v>2</v>
      </c>
      <c r="AA5">
        <v>3</v>
      </c>
    </row>
    <row r="6" spans="1:27" x14ac:dyDescent="0.25">
      <c r="A6" s="4">
        <v>4</v>
      </c>
      <c r="B6" s="4"/>
      <c r="C6" s="5"/>
      <c r="D6" s="5"/>
      <c r="E6" s="5"/>
      <c r="F6" s="5">
        <v>2</v>
      </c>
      <c r="G6" s="5">
        <v>2</v>
      </c>
      <c r="H6" s="5">
        <v>2</v>
      </c>
      <c r="J6" s="9"/>
      <c r="K6" s="9"/>
      <c r="L6" s="9"/>
      <c r="M6" s="9">
        <f t="shared" ref="M6" si="1">E$2-$A6</f>
        <v>0</v>
      </c>
      <c r="N6" s="9">
        <f t="shared" ref="N6:N7" si="2">F$2-$A6</f>
        <v>1</v>
      </c>
      <c r="O6" s="9">
        <f t="shared" ref="O6:O7" si="3">G$2-$A6</f>
        <v>2</v>
      </c>
      <c r="P6" s="9">
        <f t="shared" ref="P6:P7" si="4">H$2-$A6</f>
        <v>3</v>
      </c>
      <c r="R6" t="s">
        <v>15</v>
      </c>
      <c r="S6" t="s">
        <v>12</v>
      </c>
      <c r="T6" t="s">
        <v>13</v>
      </c>
      <c r="W6" s="1">
        <v>0.3</v>
      </c>
      <c r="X6">
        <v>1</v>
      </c>
      <c r="Y6">
        <v>4</v>
      </c>
      <c r="Z6">
        <f>4-4+1</f>
        <v>1</v>
      </c>
      <c r="AA6">
        <v>4</v>
      </c>
    </row>
    <row r="7" spans="1:27" x14ac:dyDescent="0.25">
      <c r="A7" s="4">
        <v>5</v>
      </c>
      <c r="B7" s="4"/>
      <c r="C7" s="5"/>
      <c r="D7" s="5"/>
      <c r="E7" s="5"/>
      <c r="F7" s="5"/>
      <c r="G7" s="5">
        <v>3</v>
      </c>
      <c r="H7" s="5">
        <v>3</v>
      </c>
      <c r="J7" s="9"/>
      <c r="K7" s="9"/>
      <c r="L7" s="9"/>
      <c r="M7" s="9"/>
      <c r="N7" s="9">
        <f t="shared" si="2"/>
        <v>0</v>
      </c>
      <c r="O7" s="9">
        <f t="shared" si="3"/>
        <v>1</v>
      </c>
      <c r="P7" s="9">
        <f t="shared" si="4"/>
        <v>2</v>
      </c>
    </row>
    <row r="8" spans="1:27" x14ac:dyDescent="0.25">
      <c r="A8" s="4">
        <v>6</v>
      </c>
      <c r="B8" s="4"/>
      <c r="C8" s="5"/>
      <c r="D8" s="5"/>
      <c r="E8" s="5"/>
      <c r="F8" s="5"/>
      <c r="G8" s="5"/>
      <c r="H8" s="5">
        <v>4</v>
      </c>
      <c r="J8" s="9"/>
      <c r="K8" s="9"/>
      <c r="L8" s="9"/>
      <c r="M8" s="9"/>
      <c r="N8" s="9"/>
      <c r="O8" s="9">
        <v>0</v>
      </c>
      <c r="P8" s="9">
        <v>1</v>
      </c>
      <c r="R8" t="s">
        <v>435</v>
      </c>
    </row>
    <row r="9" spans="1:27" x14ac:dyDescent="0.25">
      <c r="A9" s="4">
        <v>7</v>
      </c>
      <c r="B9" s="4"/>
      <c r="C9" s="5"/>
      <c r="D9" s="5"/>
      <c r="E9" s="5"/>
      <c r="F9" s="5"/>
      <c r="G9" s="5"/>
      <c r="H9" s="5"/>
      <c r="J9" s="9"/>
      <c r="K9" s="9"/>
      <c r="L9" s="9"/>
      <c r="M9" s="9"/>
      <c r="N9" s="9"/>
      <c r="O9" s="9"/>
      <c r="P9" s="9">
        <v>0</v>
      </c>
      <c r="R9" t="s">
        <v>434</v>
      </c>
    </row>
    <row r="10" spans="1:27" x14ac:dyDescent="0.25">
      <c r="A10" s="14" t="s">
        <v>396</v>
      </c>
      <c r="K10" t="s">
        <v>7</v>
      </c>
    </row>
    <row r="11" spans="1:27" x14ac:dyDescent="0.25">
      <c r="A11" s="14" t="s">
        <v>394</v>
      </c>
      <c r="R11" t="s">
        <v>436</v>
      </c>
    </row>
    <row r="12" spans="1:27" x14ac:dyDescent="0.25">
      <c r="R12" t="s">
        <v>437</v>
      </c>
    </row>
    <row r="14" spans="1:27" x14ac:dyDescent="0.25">
      <c r="R14" t="s">
        <v>432</v>
      </c>
    </row>
    <row r="15" spans="1:27" x14ac:dyDescent="0.25">
      <c r="A15" s="6" t="s">
        <v>390</v>
      </c>
      <c r="B15" s="252" t="s">
        <v>4</v>
      </c>
      <c r="C15" s="253"/>
      <c r="D15" s="253"/>
      <c r="E15" s="253"/>
      <c r="F15" s="253"/>
      <c r="G15" s="253"/>
      <c r="H15" s="253"/>
      <c r="R15" t="s">
        <v>433</v>
      </c>
    </row>
    <row r="16" spans="1:27" x14ac:dyDescent="0.25">
      <c r="A16" s="4" t="s">
        <v>3</v>
      </c>
      <c r="B16" s="4">
        <v>1</v>
      </c>
      <c r="C16" s="4">
        <v>2</v>
      </c>
      <c r="D16" s="4">
        <v>3</v>
      </c>
      <c r="E16" s="4">
        <v>4</v>
      </c>
      <c r="F16" s="4">
        <v>5</v>
      </c>
      <c r="G16" s="4">
        <v>6</v>
      </c>
      <c r="H16" s="4">
        <v>7</v>
      </c>
      <c r="R16" t="s">
        <v>438</v>
      </c>
    </row>
    <row r="17" spans="1:18" x14ac:dyDescent="0.25">
      <c r="A17" s="4">
        <v>1</v>
      </c>
      <c r="B17" s="4"/>
      <c r="C17" s="5">
        <v>0.83330000000000004</v>
      </c>
      <c r="D17" s="5">
        <v>0.66669999999999996</v>
      </c>
      <c r="E17" s="5">
        <v>0.52290000000000003</v>
      </c>
      <c r="F17" s="5">
        <v>0.40529999999999999</v>
      </c>
      <c r="G17" s="5">
        <v>0.31169999999999998</v>
      </c>
      <c r="H17" s="5">
        <v>0.23830000000000001</v>
      </c>
      <c r="R17" t="s">
        <v>439</v>
      </c>
    </row>
    <row r="18" spans="1:18" x14ac:dyDescent="0.25">
      <c r="A18" s="4">
        <v>2</v>
      </c>
      <c r="B18" s="4"/>
      <c r="C18" s="5"/>
      <c r="D18" s="5">
        <v>0.88890000000000002</v>
      </c>
      <c r="E18" s="5">
        <v>0.75</v>
      </c>
      <c r="F18" s="5">
        <v>0.61439999999999995</v>
      </c>
      <c r="G18" s="5">
        <v>0.49380000000000002</v>
      </c>
      <c r="H18" s="5">
        <v>0.39169999999999999</v>
      </c>
      <c r="R18" t="s">
        <v>440</v>
      </c>
    </row>
    <row r="19" spans="1:18" x14ac:dyDescent="0.25">
      <c r="A19" s="4">
        <v>3</v>
      </c>
      <c r="B19" s="4"/>
      <c r="C19" s="5"/>
      <c r="D19" s="5"/>
      <c r="E19" s="5">
        <v>0.91669999999999996</v>
      </c>
      <c r="F19" s="5">
        <v>0.8</v>
      </c>
      <c r="G19" s="5">
        <v>0.67649999999999999</v>
      </c>
      <c r="H19" s="5">
        <v>0.55979999999999996</v>
      </c>
    </row>
    <row r="20" spans="1:18" x14ac:dyDescent="0.25">
      <c r="A20" s="4">
        <v>4</v>
      </c>
      <c r="B20" s="4"/>
      <c r="C20" s="5"/>
      <c r="D20" s="5"/>
      <c r="E20" s="5"/>
      <c r="F20" s="5">
        <v>0.93330000000000002</v>
      </c>
      <c r="G20" s="5">
        <v>0.83330000000000004</v>
      </c>
      <c r="H20" s="5">
        <v>0.72150000000000003</v>
      </c>
    </row>
    <row r="21" spans="1:18" x14ac:dyDescent="0.25">
      <c r="A21" s="4">
        <v>5</v>
      </c>
      <c r="B21" s="4"/>
      <c r="C21" s="5"/>
      <c r="D21" s="5"/>
      <c r="E21" s="5"/>
      <c r="F21" s="5"/>
      <c r="G21" s="5">
        <v>0.94440000000000002</v>
      </c>
      <c r="H21" s="5">
        <v>0.85709999999999997</v>
      </c>
    </row>
    <row r="22" spans="1:18" x14ac:dyDescent="0.25">
      <c r="A22" s="4">
        <v>6</v>
      </c>
      <c r="B22" s="4"/>
      <c r="C22" s="5"/>
      <c r="D22" s="5"/>
      <c r="E22" s="5"/>
      <c r="F22" s="5"/>
      <c r="G22" s="5"/>
      <c r="H22" s="5">
        <v>0.95240000000000002</v>
      </c>
    </row>
    <row r="23" spans="1:18" x14ac:dyDescent="0.25">
      <c r="A23" s="4">
        <v>7</v>
      </c>
      <c r="B23" s="4"/>
      <c r="C23" s="5"/>
      <c r="D23" s="5"/>
      <c r="E23" s="5"/>
      <c r="F23" s="5"/>
      <c r="G23" s="5"/>
      <c r="H23" s="5"/>
    </row>
    <row r="26" spans="1:18" x14ac:dyDescent="0.25">
      <c r="B26" s="14" t="s">
        <v>395</v>
      </c>
    </row>
    <row r="27" spans="1:18" x14ac:dyDescent="0.25">
      <c r="A27" s="6" t="s">
        <v>5</v>
      </c>
      <c r="B27" s="252" t="s">
        <v>4</v>
      </c>
      <c r="C27" s="253"/>
      <c r="D27" s="253"/>
      <c r="E27" s="253"/>
      <c r="F27" s="253"/>
      <c r="G27" s="253"/>
      <c r="H27" s="253"/>
    </row>
    <row r="28" spans="1:18" x14ac:dyDescent="0.25">
      <c r="A28" s="4" t="s">
        <v>3</v>
      </c>
      <c r="B28" s="4">
        <v>1</v>
      </c>
      <c r="C28" s="4">
        <v>2</v>
      </c>
      <c r="D28" s="4">
        <v>3</v>
      </c>
      <c r="E28" s="4">
        <v>4</v>
      </c>
      <c r="F28" s="4">
        <v>5</v>
      </c>
      <c r="G28" s="4">
        <v>6</v>
      </c>
      <c r="H28" s="4"/>
    </row>
    <row r="29" spans="1:18" x14ac:dyDescent="0.25">
      <c r="A29" s="4">
        <v>1</v>
      </c>
      <c r="B29" s="4"/>
      <c r="C29" s="5">
        <v>1</v>
      </c>
      <c r="D29" s="5">
        <v>0.5</v>
      </c>
      <c r="E29" s="5">
        <v>0.3</v>
      </c>
      <c r="F29" s="5">
        <v>0.21</v>
      </c>
      <c r="G29" s="5">
        <v>0.17</v>
      </c>
      <c r="H29" s="5"/>
    </row>
    <row r="30" spans="1:18" x14ac:dyDescent="0.25">
      <c r="A30" s="4">
        <v>2</v>
      </c>
      <c r="B30" s="4"/>
      <c r="C30" s="5"/>
      <c r="D30" s="5">
        <v>2</v>
      </c>
      <c r="E30" s="5">
        <v>1.1000000000000001</v>
      </c>
      <c r="F30" s="5">
        <v>0.7</v>
      </c>
      <c r="G30" s="5">
        <v>0.4</v>
      </c>
      <c r="H30" s="5"/>
    </row>
    <row r="31" spans="1:18" x14ac:dyDescent="0.25">
      <c r="A31" s="4">
        <v>3</v>
      </c>
      <c r="B31" s="4"/>
      <c r="C31" s="5"/>
      <c r="D31" s="5"/>
      <c r="E31" s="5">
        <v>2.9</v>
      </c>
      <c r="F31" s="5">
        <v>1.8</v>
      </c>
      <c r="G31" s="5">
        <v>1.1000000000000001</v>
      </c>
      <c r="H31" s="5"/>
    </row>
    <row r="32" spans="1:18" x14ac:dyDescent="0.25">
      <c r="A32" s="4">
        <v>4</v>
      </c>
      <c r="B32" s="4"/>
      <c r="C32" s="5"/>
      <c r="D32" s="5"/>
      <c r="E32" s="5"/>
      <c r="F32" s="5">
        <v>3.7</v>
      </c>
      <c r="G32" s="5">
        <v>2.4</v>
      </c>
      <c r="H32" s="5"/>
    </row>
    <row r="33" spans="1:8" x14ac:dyDescent="0.25">
      <c r="A33" s="4">
        <v>5</v>
      </c>
      <c r="B33" s="4"/>
      <c r="C33" s="5"/>
      <c r="D33" s="5"/>
      <c r="E33" s="5"/>
      <c r="F33" s="5"/>
      <c r="G33" s="5">
        <v>4.3</v>
      </c>
      <c r="H33" s="5"/>
    </row>
    <row r="34" spans="1:8" x14ac:dyDescent="0.25">
      <c r="A34" s="4"/>
      <c r="B34" s="4"/>
      <c r="C34" s="5"/>
      <c r="D34" s="5"/>
      <c r="E34" s="5"/>
      <c r="F34" s="5"/>
      <c r="G34" s="5"/>
      <c r="H34" s="5"/>
    </row>
  </sheetData>
  <mergeCells count="3">
    <mergeCell ref="B15:H15"/>
    <mergeCell ref="B1:H1"/>
    <mergeCell ref="B27:H2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C8F5-2FB4-42B2-9EFC-84DCF2D54AA5}">
  <dimension ref="A1:AM74"/>
  <sheetViews>
    <sheetView topLeftCell="L1" workbookViewId="0">
      <selection activeCell="L1" sqref="L1"/>
    </sheetView>
  </sheetViews>
  <sheetFormatPr defaultRowHeight="15" x14ac:dyDescent="0.25"/>
  <cols>
    <col min="2" max="2" width="34.28515625" customWidth="1"/>
    <col min="4" max="4" width="24.140625" customWidth="1"/>
    <col min="7" max="7" width="10.42578125" customWidth="1"/>
    <col min="11" max="11" width="18.85546875" customWidth="1"/>
    <col min="13" max="13" width="19.28515625" customWidth="1"/>
    <col min="32" max="32" width="19.140625" customWidth="1"/>
  </cols>
  <sheetData>
    <row r="1" spans="1:39" ht="17.25" thickBot="1" x14ac:dyDescent="0.35">
      <c r="A1" s="14"/>
      <c r="B1" s="14" t="s">
        <v>57</v>
      </c>
      <c r="D1" s="14" t="s">
        <v>58</v>
      </c>
      <c r="E1" s="14" t="s">
        <v>110</v>
      </c>
      <c r="F1" s="14" t="s">
        <v>59</v>
      </c>
      <c r="G1" s="14" t="s">
        <v>108</v>
      </c>
      <c r="H1" s="14" t="s">
        <v>56</v>
      </c>
      <c r="I1" s="14"/>
      <c r="J1" s="14"/>
      <c r="K1" s="14" t="s">
        <v>97</v>
      </c>
      <c r="M1" s="14" t="s">
        <v>113</v>
      </c>
      <c r="O1" s="14" t="s">
        <v>169</v>
      </c>
      <c r="Q1" s="14" t="s">
        <v>170</v>
      </c>
      <c r="Z1" s="14">
        <v>61511</v>
      </c>
      <c r="AC1" t="s">
        <v>216</v>
      </c>
      <c r="AD1" s="14" t="s">
        <v>179</v>
      </c>
      <c r="AF1" s="110" t="s">
        <v>262</v>
      </c>
      <c r="AI1" s="110" t="s">
        <v>271</v>
      </c>
      <c r="AM1" s="193" t="s">
        <v>338</v>
      </c>
    </row>
    <row r="2" spans="1:39" x14ac:dyDescent="0.25">
      <c r="B2" s="43" t="s">
        <v>60</v>
      </c>
      <c r="D2" s="44" t="s">
        <v>61</v>
      </c>
      <c r="E2" s="45">
        <v>1</v>
      </c>
      <c r="F2" s="61">
        <f>E2*10^-9*8760</f>
        <v>8.7600000000000008E-6</v>
      </c>
      <c r="G2" s="45">
        <f t="shared" ref="G2:G9" si="0">ROUND(1/F2,INT(LOG10(F2))+SigFigs)</f>
        <v>110000</v>
      </c>
      <c r="H2" s="42">
        <v>1</v>
      </c>
      <c r="K2" s="65">
        <v>1</v>
      </c>
      <c r="M2" s="65">
        <v>1</v>
      </c>
      <c r="O2" s="85" t="s">
        <v>167</v>
      </c>
      <c r="R2" s="87"/>
      <c r="S2" s="87"/>
      <c r="T2" s="87"/>
      <c r="U2" s="87"/>
      <c r="V2" s="87"/>
      <c r="W2" s="87"/>
      <c r="X2" s="88"/>
      <c r="AI2" t="s">
        <v>270</v>
      </c>
    </row>
    <row r="3" spans="1:39" ht="18.75" thickBot="1" x14ac:dyDescent="0.3">
      <c r="B3" s="47" t="s">
        <v>62</v>
      </c>
      <c r="D3" s="48" t="s">
        <v>63</v>
      </c>
      <c r="E3" s="25">
        <v>10</v>
      </c>
      <c r="F3" s="62">
        <f t="shared" ref="F3:F9" si="1">E3*10^-9*8760</f>
        <v>8.7600000000000002E-5</v>
      </c>
      <c r="G3" s="25">
        <f t="shared" si="0"/>
        <v>11000</v>
      </c>
      <c r="H3" s="46">
        <v>2</v>
      </c>
      <c r="K3" s="66">
        <v>0.99</v>
      </c>
      <c r="M3" s="66">
        <v>0.9</v>
      </c>
      <c r="O3" s="86" t="s">
        <v>168</v>
      </c>
      <c r="Q3" s="89" t="s">
        <v>125</v>
      </c>
      <c r="R3" s="89">
        <v>0</v>
      </c>
      <c r="S3" s="89">
        <v>1</v>
      </c>
      <c r="T3" s="89">
        <v>2</v>
      </c>
      <c r="U3" s="219">
        <v>3</v>
      </c>
      <c r="V3" s="219">
        <v>4</v>
      </c>
      <c r="W3" s="219">
        <v>5</v>
      </c>
      <c r="X3" s="219">
        <v>6</v>
      </c>
      <c r="Z3" s="89" t="s">
        <v>173</v>
      </c>
      <c r="AA3" s="89" t="s">
        <v>174</v>
      </c>
      <c r="AC3" s="9">
        <v>1</v>
      </c>
      <c r="AD3" s="129">
        <v>0</v>
      </c>
      <c r="AF3" s="132" t="s">
        <v>263</v>
      </c>
      <c r="AG3" s="9">
        <v>1</v>
      </c>
      <c r="AI3" s="9">
        <v>1</v>
      </c>
      <c r="AJ3" s="9">
        <v>3.16</v>
      </c>
      <c r="AM3" s="195">
        <v>5.0000000000000001E-3</v>
      </c>
    </row>
    <row r="4" spans="1:39" ht="18" x14ac:dyDescent="0.25">
      <c r="B4" s="47" t="s">
        <v>64</v>
      </c>
      <c r="D4" s="48" t="s">
        <v>65</v>
      </c>
      <c r="E4" s="25">
        <v>30</v>
      </c>
      <c r="F4" s="62">
        <f t="shared" si="1"/>
        <v>2.6280000000000005E-4</v>
      </c>
      <c r="G4" s="25">
        <f t="shared" si="0"/>
        <v>3800</v>
      </c>
      <c r="H4" s="46">
        <v>3</v>
      </c>
      <c r="K4" s="66">
        <v>0.9</v>
      </c>
      <c r="M4" s="66">
        <v>0.5</v>
      </c>
      <c r="Q4" s="90">
        <v>0</v>
      </c>
      <c r="R4" s="91">
        <v>1</v>
      </c>
      <c r="S4" s="91">
        <v>2</v>
      </c>
      <c r="T4" s="91">
        <v>3</v>
      </c>
      <c r="U4" s="220">
        <v>4</v>
      </c>
      <c r="V4" s="220">
        <v>4</v>
      </c>
      <c r="W4" s="220">
        <v>4</v>
      </c>
      <c r="X4" s="220">
        <v>4</v>
      </c>
      <c r="Z4" s="89">
        <v>0</v>
      </c>
      <c r="AA4" s="91">
        <v>2</v>
      </c>
      <c r="AC4" s="9">
        <v>10</v>
      </c>
      <c r="AD4" s="129">
        <v>1</v>
      </c>
      <c r="AF4" s="132" t="s">
        <v>264</v>
      </c>
      <c r="AG4" s="9">
        <v>2</v>
      </c>
      <c r="AI4" s="9">
        <v>2</v>
      </c>
      <c r="AJ4" s="9">
        <v>10</v>
      </c>
      <c r="AM4" s="196">
        <v>0.01</v>
      </c>
    </row>
    <row r="5" spans="1:39" x14ac:dyDescent="0.25">
      <c r="B5" s="47" t="s">
        <v>66</v>
      </c>
      <c r="D5" s="48" t="s">
        <v>67</v>
      </c>
      <c r="E5" s="25">
        <v>100</v>
      </c>
      <c r="F5" s="62">
        <f t="shared" si="1"/>
        <v>8.7600000000000004E-4</v>
      </c>
      <c r="G5" s="25">
        <f t="shared" si="0"/>
        <v>1100</v>
      </c>
      <c r="H5" s="46">
        <v>4</v>
      </c>
      <c r="K5" s="66">
        <v>0.5</v>
      </c>
      <c r="M5" s="66">
        <v>0.3</v>
      </c>
      <c r="Q5" s="90">
        <v>0.6</v>
      </c>
      <c r="R5" s="91">
        <v>2</v>
      </c>
      <c r="S5" s="91">
        <v>3</v>
      </c>
      <c r="T5" s="91">
        <v>4</v>
      </c>
      <c r="U5" s="220">
        <v>4</v>
      </c>
      <c r="V5" s="220">
        <v>4</v>
      </c>
      <c r="W5" s="220">
        <v>4</v>
      </c>
      <c r="X5" s="220">
        <v>4</v>
      </c>
      <c r="Z5" s="89">
        <v>1</v>
      </c>
      <c r="AA5" s="91">
        <v>3</v>
      </c>
      <c r="AC5" s="9">
        <v>100</v>
      </c>
      <c r="AD5" s="129">
        <v>2</v>
      </c>
      <c r="AF5" s="132" t="s">
        <v>265</v>
      </c>
      <c r="AG5" s="9">
        <v>3</v>
      </c>
      <c r="AI5" s="9">
        <v>3</v>
      </c>
      <c r="AJ5" s="9">
        <v>31.6</v>
      </c>
      <c r="AM5" s="196">
        <v>0.02</v>
      </c>
    </row>
    <row r="6" spans="1:39" x14ac:dyDescent="0.25">
      <c r="B6" s="47" t="s">
        <v>68</v>
      </c>
      <c r="D6" s="48" t="s">
        <v>69</v>
      </c>
      <c r="E6" s="25">
        <v>300</v>
      </c>
      <c r="F6" s="62">
        <f t="shared" si="1"/>
        <v>2.6280000000000006E-3</v>
      </c>
      <c r="G6" s="25">
        <f t="shared" si="0"/>
        <v>380</v>
      </c>
      <c r="H6" s="46">
        <v>5</v>
      </c>
      <c r="K6" s="66">
        <v>0.3</v>
      </c>
      <c r="M6" s="66">
        <v>0.1</v>
      </c>
      <c r="Q6" s="90">
        <v>0.9</v>
      </c>
      <c r="R6" s="91">
        <v>3</v>
      </c>
      <c r="S6" s="91">
        <v>4</v>
      </c>
      <c r="T6" s="91">
        <v>4</v>
      </c>
      <c r="U6" s="220">
        <v>4</v>
      </c>
      <c r="V6" s="220">
        <v>4</v>
      </c>
      <c r="W6" s="220">
        <v>4</v>
      </c>
      <c r="X6" s="220">
        <v>4</v>
      </c>
      <c r="Z6" s="89">
        <v>2</v>
      </c>
      <c r="AA6" s="91">
        <v>4</v>
      </c>
      <c r="AC6" s="9">
        <v>1000</v>
      </c>
      <c r="AD6" s="129">
        <v>3</v>
      </c>
      <c r="AF6" s="132" t="s">
        <v>274</v>
      </c>
      <c r="AG6" s="9">
        <v>4</v>
      </c>
      <c r="AM6" s="196">
        <v>0.05</v>
      </c>
    </row>
    <row r="7" spans="1:39" x14ac:dyDescent="0.25">
      <c r="B7" s="47" t="s">
        <v>70</v>
      </c>
      <c r="D7" s="48" t="s">
        <v>71</v>
      </c>
      <c r="E7" s="25">
        <v>1000</v>
      </c>
      <c r="F7" s="62">
        <f t="shared" si="1"/>
        <v>8.7600000000000022E-3</v>
      </c>
      <c r="G7" s="25">
        <f t="shared" si="0"/>
        <v>110</v>
      </c>
      <c r="H7" s="46">
        <v>6</v>
      </c>
      <c r="K7" s="66">
        <v>0.1</v>
      </c>
      <c r="M7" s="66">
        <v>0.03</v>
      </c>
      <c r="Q7" s="90">
        <v>0.99</v>
      </c>
      <c r="R7" s="91">
        <v>3</v>
      </c>
      <c r="S7" s="91">
        <v>4</v>
      </c>
      <c r="T7" s="91">
        <v>4</v>
      </c>
      <c r="U7" s="220">
        <v>4</v>
      </c>
      <c r="V7" s="220">
        <v>4</v>
      </c>
      <c r="W7" s="220">
        <v>4</v>
      </c>
      <c r="X7" s="220">
        <v>4</v>
      </c>
      <c r="AC7" s="9">
        <v>10000</v>
      </c>
      <c r="AD7" s="129">
        <v>4</v>
      </c>
      <c r="AM7" s="196">
        <v>0.1</v>
      </c>
    </row>
    <row r="8" spans="1:39" ht="15.75" thickBot="1" x14ac:dyDescent="0.3">
      <c r="B8" s="47" t="s">
        <v>72</v>
      </c>
      <c r="D8" s="48" t="s">
        <v>73</v>
      </c>
      <c r="E8" s="25">
        <v>3000</v>
      </c>
      <c r="F8" s="62">
        <f t="shared" si="1"/>
        <v>2.6280000000000001E-2</v>
      </c>
      <c r="G8" s="25">
        <f t="shared" si="0"/>
        <v>38</v>
      </c>
      <c r="H8" s="46">
        <v>7</v>
      </c>
      <c r="K8" s="67">
        <v>0</v>
      </c>
      <c r="M8" s="66">
        <v>0.01</v>
      </c>
    </row>
    <row r="9" spans="1:39" ht="15.75" thickBot="1" x14ac:dyDescent="0.3">
      <c r="B9" s="47" t="s">
        <v>74</v>
      </c>
      <c r="D9" s="50" t="s">
        <v>75</v>
      </c>
      <c r="E9" s="51">
        <v>10000</v>
      </c>
      <c r="F9" s="63">
        <f t="shared" si="1"/>
        <v>8.7600000000000011E-2</v>
      </c>
      <c r="G9" s="51">
        <f t="shared" si="0"/>
        <v>11</v>
      </c>
      <c r="H9" s="52">
        <v>8</v>
      </c>
      <c r="M9" s="67">
        <v>0</v>
      </c>
      <c r="AC9" t="s">
        <v>372</v>
      </c>
      <c r="AD9" s="14" t="s">
        <v>179</v>
      </c>
      <c r="AF9" s="110" t="s">
        <v>275</v>
      </c>
      <c r="AI9" s="14" t="s">
        <v>293</v>
      </c>
      <c r="AM9" s="14" t="s">
        <v>388</v>
      </c>
    </row>
    <row r="10" spans="1:39" ht="15.75" thickBot="1" x14ac:dyDescent="0.3">
      <c r="B10" s="47" t="s">
        <v>76</v>
      </c>
      <c r="Q10" s="14" t="s">
        <v>171</v>
      </c>
    </row>
    <row r="11" spans="1:39" x14ac:dyDescent="0.25">
      <c r="B11" s="47" t="s">
        <v>77</v>
      </c>
      <c r="S11" s="92"/>
      <c r="U11" s="92"/>
      <c r="V11" s="92"/>
      <c r="W11" s="92"/>
      <c r="AC11" s="212">
        <v>1.0000000000000001E-9</v>
      </c>
      <c r="AD11" s="129">
        <v>4</v>
      </c>
      <c r="AF11" s="147" t="s">
        <v>278</v>
      </c>
      <c r="AI11" s="9">
        <v>0</v>
      </c>
      <c r="AM11" s="85" t="b">
        <v>1</v>
      </c>
    </row>
    <row r="12" spans="1:39" ht="15.75" thickBot="1" x14ac:dyDescent="0.3">
      <c r="B12" s="47" t="s">
        <v>78</v>
      </c>
      <c r="D12" s="100" t="s">
        <v>214</v>
      </c>
      <c r="E12" s="26">
        <v>2</v>
      </c>
      <c r="F12" t="s">
        <v>36</v>
      </c>
      <c r="AC12" s="212">
        <v>1E-8</v>
      </c>
      <c r="AD12" s="129">
        <v>3</v>
      </c>
      <c r="AF12" s="132" t="s">
        <v>277</v>
      </c>
      <c r="AI12" s="9">
        <v>1</v>
      </c>
      <c r="AM12" s="86" t="b">
        <v>0</v>
      </c>
    </row>
    <row r="13" spans="1:39" x14ac:dyDescent="0.25">
      <c r="B13" s="47" t="s">
        <v>79</v>
      </c>
      <c r="Q13" s="89" t="s">
        <v>125</v>
      </c>
      <c r="R13" s="89">
        <v>0</v>
      </c>
      <c r="S13" s="89">
        <v>1</v>
      </c>
      <c r="T13" s="89">
        <v>2</v>
      </c>
      <c r="U13" s="219">
        <v>3</v>
      </c>
      <c r="V13" s="219">
        <v>4</v>
      </c>
      <c r="W13" s="219">
        <v>5</v>
      </c>
      <c r="X13" s="219">
        <v>6</v>
      </c>
      <c r="AC13" s="212">
        <v>9.9999999999999995E-8</v>
      </c>
      <c r="AD13" s="129">
        <v>2</v>
      </c>
      <c r="AF13" s="132" t="s">
        <v>276</v>
      </c>
      <c r="AI13" s="9">
        <v>2</v>
      </c>
    </row>
    <row r="14" spans="1:39" x14ac:dyDescent="0.25">
      <c r="B14" s="47" t="s">
        <v>80</v>
      </c>
      <c r="F14" s="49"/>
      <c r="Q14" s="90">
        <v>0</v>
      </c>
      <c r="R14" s="91">
        <v>0</v>
      </c>
      <c r="S14" s="91">
        <v>1</v>
      </c>
      <c r="T14" s="91">
        <v>2</v>
      </c>
      <c r="U14" s="220">
        <v>3</v>
      </c>
      <c r="V14" s="220">
        <v>4</v>
      </c>
      <c r="W14" s="220">
        <v>4</v>
      </c>
      <c r="X14" s="220">
        <v>4</v>
      </c>
      <c r="AC14" s="212">
        <v>9.9999999999999995E-7</v>
      </c>
      <c r="AD14" s="129">
        <v>1</v>
      </c>
      <c r="AF14" s="147" t="s">
        <v>279</v>
      </c>
      <c r="AI14" s="9">
        <v>3</v>
      </c>
    </row>
    <row r="15" spans="1:39" x14ac:dyDescent="0.25">
      <c r="B15" s="47" t="s">
        <v>81</v>
      </c>
      <c r="F15" s="49"/>
      <c r="Q15" s="90">
        <v>0.6</v>
      </c>
      <c r="R15" s="91">
        <v>1</v>
      </c>
      <c r="S15" s="91">
        <v>2</v>
      </c>
      <c r="T15" s="91">
        <v>3</v>
      </c>
      <c r="U15" s="220">
        <v>4</v>
      </c>
      <c r="V15" s="220">
        <v>4</v>
      </c>
      <c r="W15" s="220">
        <v>4</v>
      </c>
      <c r="X15" s="220">
        <v>4</v>
      </c>
      <c r="AC15" s="212">
        <v>1.0000000000000001E-5</v>
      </c>
      <c r="AD15" s="129">
        <v>0</v>
      </c>
      <c r="AI15" s="9">
        <v>4</v>
      </c>
    </row>
    <row r="16" spans="1:39" x14ac:dyDescent="0.25">
      <c r="B16" s="47" t="s">
        <v>82</v>
      </c>
      <c r="F16" s="49"/>
      <c r="G16" s="25"/>
      <c r="Q16" s="90">
        <v>0.9</v>
      </c>
      <c r="R16" s="91">
        <v>2</v>
      </c>
      <c r="S16" s="91">
        <v>3</v>
      </c>
      <c r="T16" s="91">
        <v>4</v>
      </c>
      <c r="U16" s="220">
        <v>4</v>
      </c>
      <c r="V16" s="220">
        <v>4</v>
      </c>
      <c r="W16" s="220">
        <v>4</v>
      </c>
      <c r="X16" s="220">
        <v>4</v>
      </c>
    </row>
    <row r="17" spans="2:24" x14ac:dyDescent="0.25">
      <c r="B17" s="47" t="s">
        <v>83</v>
      </c>
      <c r="F17" s="49"/>
      <c r="Q17" s="90">
        <v>0.99</v>
      </c>
      <c r="R17" s="91">
        <v>3</v>
      </c>
      <c r="S17" s="91">
        <v>4</v>
      </c>
      <c r="T17" s="91">
        <v>4</v>
      </c>
      <c r="U17" s="220">
        <v>4</v>
      </c>
      <c r="V17" s="220">
        <v>4</v>
      </c>
      <c r="W17" s="220">
        <v>4</v>
      </c>
      <c r="X17" s="220">
        <v>4</v>
      </c>
    </row>
    <row r="18" spans="2:24" x14ac:dyDescent="0.25">
      <c r="B18" s="47" t="s">
        <v>84</v>
      </c>
      <c r="F18" s="49"/>
    </row>
    <row r="19" spans="2:24" x14ac:dyDescent="0.25">
      <c r="B19" s="47" t="s">
        <v>85</v>
      </c>
      <c r="F19" s="49"/>
    </row>
    <row r="20" spans="2:24" x14ac:dyDescent="0.25">
      <c r="B20" s="47" t="s">
        <v>86</v>
      </c>
      <c r="F20" s="49"/>
    </row>
    <row r="21" spans="2:24" ht="15.75" thickBot="1" x14ac:dyDescent="0.3">
      <c r="B21" s="53" t="s">
        <v>187</v>
      </c>
      <c r="F21" s="49"/>
    </row>
    <row r="22" spans="2:24" x14ac:dyDescent="0.25">
      <c r="F22" s="49"/>
    </row>
    <row r="23" spans="2:24" x14ac:dyDescent="0.25">
      <c r="F23" s="49"/>
    </row>
    <row r="24" spans="2:24" x14ac:dyDescent="0.25">
      <c r="B24" s="54" t="s">
        <v>87</v>
      </c>
    </row>
    <row r="25" spans="2:24" x14ac:dyDescent="0.25">
      <c r="B25" s="54" t="s">
        <v>88</v>
      </c>
    </row>
    <row r="27" spans="2:24" x14ac:dyDescent="0.25">
      <c r="B27" s="14"/>
    </row>
    <row r="28" spans="2:24" x14ac:dyDescent="0.25">
      <c r="B28" s="55"/>
    </row>
    <row r="29" spans="2:24" x14ac:dyDescent="0.25">
      <c r="B29" s="54"/>
    </row>
    <row r="30" spans="2:24" x14ac:dyDescent="0.25">
      <c r="B30" s="54"/>
    </row>
    <row r="31" spans="2:24" x14ac:dyDescent="0.25">
      <c r="B31" s="54"/>
    </row>
    <row r="32" spans="2:24" x14ac:dyDescent="0.25">
      <c r="B32" s="54"/>
    </row>
    <row r="33" spans="2:2" x14ac:dyDescent="0.25">
      <c r="B33" s="55"/>
    </row>
    <row r="34" spans="2:2" x14ac:dyDescent="0.25">
      <c r="B34" s="54"/>
    </row>
    <row r="35" spans="2:2" x14ac:dyDescent="0.25">
      <c r="B35" s="54"/>
    </row>
    <row r="36" spans="2:2" x14ac:dyDescent="0.25">
      <c r="B36" s="54"/>
    </row>
    <row r="37" spans="2:2" x14ac:dyDescent="0.25">
      <c r="B37" s="54"/>
    </row>
    <row r="38" spans="2:2" x14ac:dyDescent="0.25">
      <c r="B38" s="54"/>
    </row>
    <row r="39" spans="2:2" x14ac:dyDescent="0.25">
      <c r="B39" s="54"/>
    </row>
    <row r="40" spans="2:2" x14ac:dyDescent="0.25">
      <c r="B40" s="54"/>
    </row>
    <row r="42" spans="2:2" x14ac:dyDescent="0.25">
      <c r="B42" s="54"/>
    </row>
    <row r="43" spans="2:2" x14ac:dyDescent="0.25">
      <c r="B43" s="55"/>
    </row>
    <row r="44" spans="2:2" x14ac:dyDescent="0.25">
      <c r="B44" s="54"/>
    </row>
    <row r="45" spans="2:2" x14ac:dyDescent="0.25">
      <c r="B45" s="54"/>
    </row>
    <row r="46" spans="2:2" x14ac:dyDescent="0.25">
      <c r="B46" s="54"/>
    </row>
    <row r="47" spans="2:2" x14ac:dyDescent="0.25">
      <c r="B47" s="54"/>
    </row>
    <row r="48" spans="2:2" x14ac:dyDescent="0.25">
      <c r="B48" s="54"/>
    </row>
    <row r="49" spans="2:2" x14ac:dyDescent="0.25">
      <c r="B49" s="54"/>
    </row>
    <row r="50" spans="2:2" x14ac:dyDescent="0.25">
      <c r="B50" s="54"/>
    </row>
    <row r="51" spans="2:2" x14ac:dyDescent="0.25">
      <c r="B51" s="54"/>
    </row>
    <row r="52" spans="2:2" x14ac:dyDescent="0.25">
      <c r="B52" s="54"/>
    </row>
    <row r="53" spans="2:2" x14ac:dyDescent="0.25">
      <c r="B53" s="54"/>
    </row>
    <row r="54" spans="2:2" x14ac:dyDescent="0.25">
      <c r="B54" s="54"/>
    </row>
    <row r="55" spans="2:2" x14ac:dyDescent="0.25">
      <c r="B55" s="54"/>
    </row>
    <row r="56" spans="2:2" x14ac:dyDescent="0.25">
      <c r="B56" s="54"/>
    </row>
    <row r="57" spans="2:2" x14ac:dyDescent="0.25">
      <c r="B57" s="54"/>
    </row>
    <row r="58" spans="2:2" x14ac:dyDescent="0.25">
      <c r="B58" s="54"/>
    </row>
    <row r="59" spans="2:2" x14ac:dyDescent="0.25">
      <c r="B59" s="54"/>
    </row>
    <row r="60" spans="2:2" x14ac:dyDescent="0.25">
      <c r="B60" s="54"/>
    </row>
    <row r="61" spans="2:2" x14ac:dyDescent="0.25">
      <c r="B61" s="54"/>
    </row>
    <row r="62" spans="2:2" x14ac:dyDescent="0.25">
      <c r="B62" s="54"/>
    </row>
    <row r="63" spans="2:2" x14ac:dyDescent="0.25">
      <c r="B63" s="54"/>
    </row>
    <row r="64" spans="2:2" x14ac:dyDescent="0.25">
      <c r="B64" s="54"/>
    </row>
    <row r="65" spans="2:2" x14ac:dyDescent="0.25">
      <c r="B65" s="54"/>
    </row>
    <row r="66" spans="2:2" x14ac:dyDescent="0.25">
      <c r="B66" s="54"/>
    </row>
    <row r="67" spans="2:2" x14ac:dyDescent="0.25">
      <c r="B67" s="54"/>
    </row>
    <row r="68" spans="2:2" x14ac:dyDescent="0.25">
      <c r="B68" s="54"/>
    </row>
    <row r="69" spans="2:2" x14ac:dyDescent="0.25">
      <c r="B69" s="54"/>
    </row>
    <row r="70" spans="2:2" x14ac:dyDescent="0.25">
      <c r="B70" s="54"/>
    </row>
    <row r="71" spans="2:2" x14ac:dyDescent="0.25">
      <c r="B71" s="54"/>
    </row>
    <row r="72" spans="2:2" x14ac:dyDescent="0.25">
      <c r="B72" s="54"/>
    </row>
    <row r="73" spans="2:2" x14ac:dyDescent="0.25">
      <c r="B73" s="54"/>
    </row>
    <row r="74" spans="2:2" x14ac:dyDescent="0.25">
      <c r="B74" s="54"/>
    </row>
  </sheetData>
  <sortState xmlns:xlrd2="http://schemas.microsoft.com/office/spreadsheetml/2017/richdata2" ref="AC11:AD15">
    <sortCondition ref="AC11:AC15"/>
  </sortState>
  <dataValidations disablePrompts="1" count="1">
    <dataValidation type="list" allowBlank="1" showInputMessage="1" showErrorMessage="1" sqref="D43:D73" xr:uid="{E4EA8541-A2BB-4CB8-AA65-DD201781551A}">
      <formula1>Effects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370</vt:i4>
      </vt:variant>
    </vt:vector>
  </HeadingPairs>
  <TitlesOfParts>
    <vt:vector size="382" baseType="lpstr">
      <vt:lpstr>Instructions</vt:lpstr>
      <vt:lpstr>About</vt:lpstr>
      <vt:lpstr>Summary</vt:lpstr>
      <vt:lpstr>SF_1_LD</vt:lpstr>
      <vt:lpstr>SF_2_HD</vt:lpstr>
      <vt:lpstr>SF_3_CM</vt:lpstr>
      <vt:lpstr>FMEA_1</vt:lpstr>
      <vt:lpstr>FMEA_2</vt:lpstr>
      <vt:lpstr>FMEA_3</vt:lpstr>
      <vt:lpstr>Rate Converter</vt:lpstr>
      <vt:lpstr>MooN table</vt:lpstr>
      <vt:lpstr>Lookup tables</vt:lpstr>
      <vt:lpstr>SF_1_LD!archSILlimit</vt:lpstr>
      <vt:lpstr>SF_2_HD!archSILlimit</vt:lpstr>
      <vt:lpstr>SF_3_CM!archSILlimit</vt:lpstr>
      <vt:lpstr>SF_1_LD!avg_before_product</vt:lpstr>
      <vt:lpstr>SF_1_LD!CCF_T_N</vt:lpstr>
      <vt:lpstr>SF_1_LD!CCF_T1_term</vt:lpstr>
      <vt:lpstr>SF_1_LD!CCF_T2_term</vt:lpstr>
      <vt:lpstr>SF_1_LD!CCF_λDD_term</vt:lpstr>
      <vt:lpstr>Dangerous_fraction</vt:lpstr>
      <vt:lpstr>FMEA_1!DC</vt:lpstr>
      <vt:lpstr>FMEA_2!DC</vt:lpstr>
      <vt:lpstr>FMEA_3!DC</vt:lpstr>
      <vt:lpstr>SF_1_LD!Descr</vt:lpstr>
      <vt:lpstr>SF_2_HD!Descr</vt:lpstr>
      <vt:lpstr>SF_3_CM!Descr</vt:lpstr>
      <vt:lpstr>Detectability</vt:lpstr>
      <vt:lpstr>FMEA_1!Eqpt_ID</vt:lpstr>
      <vt:lpstr>FMEA_2!Eqpt_ID</vt:lpstr>
      <vt:lpstr>FMEA_3!Eqpt_ID</vt:lpstr>
      <vt:lpstr>FMEA_1!EqptDescr</vt:lpstr>
      <vt:lpstr>FMEA_2!EqptDescr</vt:lpstr>
      <vt:lpstr>FMEA_3!EqptDescr</vt:lpstr>
      <vt:lpstr>FMEA_1!Expected_freq__λ_PA</vt:lpstr>
      <vt:lpstr>FMEA_2!Expected_freq__λ_PA</vt:lpstr>
      <vt:lpstr>FMEA_3!Expected_freq__λ_PA</vt:lpstr>
      <vt:lpstr>SF_1_LD!FE_B</vt:lpstr>
      <vt:lpstr>SF_2_HD!FE_B</vt:lpstr>
      <vt:lpstr>SF_3_CM!FE_B</vt:lpstr>
      <vt:lpstr>SF_1_LD!FE_BD</vt:lpstr>
      <vt:lpstr>SF_2_HD!FE_BD</vt:lpstr>
      <vt:lpstr>SF_3_CM!FE_BD</vt:lpstr>
      <vt:lpstr>SF_1_LD!FE_FMEA</vt:lpstr>
      <vt:lpstr>SF_2_HD!FE_FMEA</vt:lpstr>
      <vt:lpstr>SF_3_CM!FE_FMEA</vt:lpstr>
      <vt:lpstr>SF_1_LD!FE_HFT</vt:lpstr>
      <vt:lpstr>SF_2_HD!FE_HFT</vt:lpstr>
      <vt:lpstr>SF_3_CM!FE_HFT</vt:lpstr>
      <vt:lpstr>SF_1_LD!FE_M</vt:lpstr>
      <vt:lpstr>SF_2_HD!FE_M</vt:lpstr>
      <vt:lpstr>SF_3_CM!FE_M</vt:lpstr>
      <vt:lpstr>SF_1_LD!FE_MRT</vt:lpstr>
      <vt:lpstr>SF_2_HD!FE_MRT</vt:lpstr>
      <vt:lpstr>SF_3_CM!FE_MRT</vt:lpstr>
      <vt:lpstr>SF_1_LD!FE_MTTR</vt:lpstr>
      <vt:lpstr>SF_2_HD!FE_MTTR</vt:lpstr>
      <vt:lpstr>SF_3_CM!FE_MTTR</vt:lpstr>
      <vt:lpstr>SF_1_LD!FE_N</vt:lpstr>
      <vt:lpstr>SF_2_HD!FE_N</vt:lpstr>
      <vt:lpstr>SF_3_CM!FE_N</vt:lpstr>
      <vt:lpstr>SF_1_LD!FE_T1</vt:lpstr>
      <vt:lpstr>SF_2_HD!FE_T1</vt:lpstr>
      <vt:lpstr>SF_3_CM!FE_T1</vt:lpstr>
      <vt:lpstr>SF_1_LD!FE_T2</vt:lpstr>
      <vt:lpstr>SF_2_HD!FE_T2</vt:lpstr>
      <vt:lpstr>SF_3_CM!FE_T2</vt:lpstr>
      <vt:lpstr>SF_1_LD!FESC</vt:lpstr>
      <vt:lpstr>SF_2_HD!FESC</vt:lpstr>
      <vt:lpstr>SF_3_CM!FESC</vt:lpstr>
      <vt:lpstr>SF_1_LD!FESILlimit</vt:lpstr>
      <vt:lpstr>SF_2_HD!FESILlimit</vt:lpstr>
      <vt:lpstr>SF_3_CM!FESILlimit</vt:lpstr>
      <vt:lpstr>SF_1_LD!FESuitability</vt:lpstr>
      <vt:lpstr>SF_2_HD!FESuitability</vt:lpstr>
      <vt:lpstr>SF_3_CM!FESuitability</vt:lpstr>
      <vt:lpstr>SF_1_LD!FETestsStaggered</vt:lpstr>
      <vt:lpstr>SF_1_LD!FMEA_sheet_list</vt:lpstr>
      <vt:lpstr>SF_2_HD!FMEA_sheet_list</vt:lpstr>
      <vt:lpstr>SF_3_CM!FMEA_sheet_list</vt:lpstr>
      <vt:lpstr>FMEA_1!FMEAtable</vt:lpstr>
      <vt:lpstr>FMEA_2!FMEAtable</vt:lpstr>
      <vt:lpstr>FMEA_3!FMEAtable</vt:lpstr>
      <vt:lpstr>FreqFITS</vt:lpstr>
      <vt:lpstr>FreqRanking</vt:lpstr>
      <vt:lpstr>Frequency</vt:lpstr>
      <vt:lpstr>HFT_method_index</vt:lpstr>
      <vt:lpstr>HFTmethods</vt:lpstr>
      <vt:lpstr>HFTtoSIL61511</vt:lpstr>
      <vt:lpstr>FMEA_1!HFTType</vt:lpstr>
      <vt:lpstr>FMEA_2!HFTType</vt:lpstr>
      <vt:lpstr>FMEA_3!HFTType</vt:lpstr>
      <vt:lpstr>SF_1_LD!M</vt:lpstr>
      <vt:lpstr>SF_2_HD!M</vt:lpstr>
      <vt:lpstr>SF_3_CM!M</vt:lpstr>
      <vt:lpstr>FMEA_1!Manufacturers_and_models</vt:lpstr>
      <vt:lpstr>FMEA_2!Manufacturers_and_models</vt:lpstr>
      <vt:lpstr>FMEA_3!Manufacturers_and_models</vt:lpstr>
      <vt:lpstr>SF_1_LD!MchooseN</vt:lpstr>
      <vt:lpstr>SF_2_HD!MchooseN</vt:lpstr>
      <vt:lpstr>SF_3_CM!MchooseN</vt:lpstr>
      <vt:lpstr>SF_2_HD!MDT1oo2</vt:lpstr>
      <vt:lpstr>SF_3_CM!MDT1oo2</vt:lpstr>
      <vt:lpstr>Modes</vt:lpstr>
      <vt:lpstr>SF_1_LD!MooNModelPFDavg</vt:lpstr>
      <vt:lpstr>Mrange</vt:lpstr>
      <vt:lpstr>SF_1_LD!MRT</vt:lpstr>
      <vt:lpstr>SF_2_HD!MRT</vt:lpstr>
      <vt:lpstr>SF_3_CM!MRT</vt:lpstr>
      <vt:lpstr>SF_1_LD!MTBFDD</vt:lpstr>
      <vt:lpstr>SF_2_HD!MTBFDD</vt:lpstr>
      <vt:lpstr>SF_3_CM!MTBFDD</vt:lpstr>
      <vt:lpstr>SF_1_LD!MTBFDN</vt:lpstr>
      <vt:lpstr>SF_2_HD!MTBFDN</vt:lpstr>
      <vt:lpstr>SF_3_CM!MTBFDN</vt:lpstr>
      <vt:lpstr>SF_1_LD!MTBFDU</vt:lpstr>
      <vt:lpstr>SF_2_HD!MTBFDU</vt:lpstr>
      <vt:lpstr>SF_3_CM!MTBFDU</vt:lpstr>
      <vt:lpstr>SF_1_LD!MTBFS</vt:lpstr>
      <vt:lpstr>SF_2_HD!MTBFS</vt:lpstr>
      <vt:lpstr>SF_3_CM!MTBFS</vt:lpstr>
      <vt:lpstr>SF_1_LD!MTTFS</vt:lpstr>
      <vt:lpstr>SF_2_HD!MTTFS</vt:lpstr>
      <vt:lpstr>SF_3_CM!MTTFS</vt:lpstr>
      <vt:lpstr>SF_1_LD!MTTR</vt:lpstr>
      <vt:lpstr>SF_2_HD!MTTR</vt:lpstr>
      <vt:lpstr>SF_3_CM!MTTR</vt:lpstr>
      <vt:lpstr>SF_1_LD!N</vt:lpstr>
      <vt:lpstr>SF_2_HD!N</vt:lpstr>
      <vt:lpstr>SF_3_CM!N</vt:lpstr>
      <vt:lpstr>Nrange</vt:lpstr>
      <vt:lpstr>orders_of_magnitude</vt:lpstr>
      <vt:lpstr>SF_1_LD!PFDterms</vt:lpstr>
      <vt:lpstr>SF_1_LD!PFDβ</vt:lpstr>
      <vt:lpstr>SF_1_LD!PFDβD</vt:lpstr>
      <vt:lpstr>SF_2_HD!PFH</vt:lpstr>
      <vt:lpstr>SF_3_CM!PFH</vt:lpstr>
      <vt:lpstr>SF_2_HD!PFH_target</vt:lpstr>
      <vt:lpstr>SF_3_CM!PFH_target</vt:lpstr>
      <vt:lpstr>SF_2_HD!PFHterms</vt:lpstr>
      <vt:lpstr>SF_3_CM!PFHterms</vt:lpstr>
      <vt:lpstr>PFHtoSIL</vt:lpstr>
      <vt:lpstr>SF_2_HD!PFHβ</vt:lpstr>
      <vt:lpstr>SF_3_CM!PFHβ</vt:lpstr>
      <vt:lpstr>SF_2_HD!PFHβD</vt:lpstr>
      <vt:lpstr>SF_3_CM!PFHβD</vt:lpstr>
      <vt:lpstr>SF_1_LD!Print_Area</vt:lpstr>
      <vt:lpstr>SF_2_HD!Print_Area</vt:lpstr>
      <vt:lpstr>SF_3_CM!Print_Area</vt:lpstr>
      <vt:lpstr>Summary!Print_Area</vt:lpstr>
      <vt:lpstr>FMEA_1!PTC</vt:lpstr>
      <vt:lpstr>FMEA_2!PTC</vt:lpstr>
      <vt:lpstr>FMEA_3!PTC</vt:lpstr>
      <vt:lpstr>FMEA_1!References</vt:lpstr>
      <vt:lpstr>FMEA_2!References</vt:lpstr>
      <vt:lpstr>FMEA_3!References</vt:lpstr>
      <vt:lpstr>ReleaseDate</vt:lpstr>
      <vt:lpstr>RevDates</vt:lpstr>
      <vt:lpstr>Route1H_Tables</vt:lpstr>
      <vt:lpstr>SF_1_LD!RRF</vt:lpstr>
      <vt:lpstr>SF_2_HD!RRF</vt:lpstr>
      <vt:lpstr>SF_3_CM!RRF</vt:lpstr>
      <vt:lpstr>SF_1_LD!RRF_target</vt:lpstr>
      <vt:lpstr>SF_2_HD!RRF_target</vt:lpstr>
      <vt:lpstr>SF_3_CM!RRF_target</vt:lpstr>
      <vt:lpstr>RRFtoSIL</vt:lpstr>
      <vt:lpstr>SClist</vt:lpstr>
      <vt:lpstr>SF_1_LD!SelectedFEsystem</vt:lpstr>
      <vt:lpstr>SF_2_HD!SelectedFEsystem</vt:lpstr>
      <vt:lpstr>SF_3_CM!SelectedFEsystem</vt:lpstr>
      <vt:lpstr>SF_1_LD!SelectedSensorSystem</vt:lpstr>
      <vt:lpstr>SF_2_HD!SelectedSensorSystem</vt:lpstr>
      <vt:lpstr>SF_3_CM!SelectedSensorSystem</vt:lpstr>
      <vt:lpstr>SF_1_LD!SelectedSolver</vt:lpstr>
      <vt:lpstr>SF_2_HD!SelectedSolver</vt:lpstr>
      <vt:lpstr>SF_3_CM!SelectedSolver</vt:lpstr>
      <vt:lpstr>SF_1_LD!SensorB</vt:lpstr>
      <vt:lpstr>SF_2_HD!SensorB</vt:lpstr>
      <vt:lpstr>SF_3_CM!SensorB</vt:lpstr>
      <vt:lpstr>SF_1_LD!SensorBD</vt:lpstr>
      <vt:lpstr>SF_2_HD!SensorBD</vt:lpstr>
      <vt:lpstr>SF_3_CM!SensorBD</vt:lpstr>
      <vt:lpstr>SF_1_LD!SensorFMEA</vt:lpstr>
      <vt:lpstr>SF_2_HD!SensorFMEA</vt:lpstr>
      <vt:lpstr>SF_3_CM!SensorFMEA</vt:lpstr>
      <vt:lpstr>SF_1_LD!SensorHFT</vt:lpstr>
      <vt:lpstr>SF_2_HD!SensorHFT</vt:lpstr>
      <vt:lpstr>SF_3_CM!SensorHFT</vt:lpstr>
      <vt:lpstr>SF_1_LD!SensorM</vt:lpstr>
      <vt:lpstr>SF_2_HD!SensorM</vt:lpstr>
      <vt:lpstr>SF_3_CM!SensorM</vt:lpstr>
      <vt:lpstr>SF_1_LD!SensorMRT</vt:lpstr>
      <vt:lpstr>SF_2_HD!SensorMRT</vt:lpstr>
      <vt:lpstr>SF_3_CM!SensorMRT</vt:lpstr>
      <vt:lpstr>SF_1_LD!SensorMTTR</vt:lpstr>
      <vt:lpstr>SF_2_HD!SensorMTTR</vt:lpstr>
      <vt:lpstr>SF_3_CM!SensorMTTR</vt:lpstr>
      <vt:lpstr>SF_1_LD!SensorN</vt:lpstr>
      <vt:lpstr>SF_2_HD!SensorN</vt:lpstr>
      <vt:lpstr>SF_3_CM!SensorN</vt:lpstr>
      <vt:lpstr>SF_1_LD!SensorSC</vt:lpstr>
      <vt:lpstr>SF_2_HD!SensorSC</vt:lpstr>
      <vt:lpstr>SF_3_CM!SensorSC</vt:lpstr>
      <vt:lpstr>SF_1_LD!SensorSILlimit</vt:lpstr>
      <vt:lpstr>SF_2_HD!SensorSILlimit</vt:lpstr>
      <vt:lpstr>SF_3_CM!SensorSILlimit</vt:lpstr>
      <vt:lpstr>SF_1_LD!SensorSuitability</vt:lpstr>
      <vt:lpstr>SF_2_HD!SensorSuitability</vt:lpstr>
      <vt:lpstr>SF_3_CM!SensorSuitability</vt:lpstr>
      <vt:lpstr>SF_1_LD!SensorT1</vt:lpstr>
      <vt:lpstr>SF_2_HD!SensorT1</vt:lpstr>
      <vt:lpstr>SF_3_CM!SensorT1</vt:lpstr>
      <vt:lpstr>SF_1_LD!SensorT2</vt:lpstr>
      <vt:lpstr>SF_2_HD!SensorT2</vt:lpstr>
      <vt:lpstr>SF_3_CM!SensorT2</vt:lpstr>
      <vt:lpstr>SF_1_LD!SensorTestsStaggered</vt:lpstr>
      <vt:lpstr>SF_1_LD!SF_ID</vt:lpstr>
      <vt:lpstr>SF_2_HD!SF_ID</vt:lpstr>
      <vt:lpstr>SF_3_CM!SF_ID</vt:lpstr>
      <vt:lpstr>FMEA_1!SFF</vt:lpstr>
      <vt:lpstr>FMEA_2!SFF</vt:lpstr>
      <vt:lpstr>FMEA_3!SFF</vt:lpstr>
      <vt:lpstr>SFFRange</vt:lpstr>
      <vt:lpstr>Summary!SFIndex</vt:lpstr>
      <vt:lpstr>'Lookup tables'!SigFigs</vt:lpstr>
      <vt:lpstr>SF_1_LD!SigFigs</vt:lpstr>
      <vt:lpstr>SF_2_HD!SigFigs</vt:lpstr>
      <vt:lpstr>SF_3_CM!SigFigs</vt:lpstr>
      <vt:lpstr>SIL</vt:lpstr>
      <vt:lpstr>SF_1_LD!SIL_target</vt:lpstr>
      <vt:lpstr>SF_2_HD!SIL_target</vt:lpstr>
      <vt:lpstr>SF_3_CM!SIL_target</vt:lpstr>
      <vt:lpstr>SF_1_LD!SILachieved</vt:lpstr>
      <vt:lpstr>SF_2_HD!SILachieved</vt:lpstr>
      <vt:lpstr>SF_3_CM!SILachieved</vt:lpstr>
      <vt:lpstr>SF_1_LD!SolverB</vt:lpstr>
      <vt:lpstr>SF_2_HD!SolverB</vt:lpstr>
      <vt:lpstr>SF_3_CM!SolverB</vt:lpstr>
      <vt:lpstr>SF_1_LD!SolverBD</vt:lpstr>
      <vt:lpstr>SF_2_HD!SolverBD</vt:lpstr>
      <vt:lpstr>SF_3_CM!SolverBD</vt:lpstr>
      <vt:lpstr>SF_1_LD!SolverFMEA</vt:lpstr>
      <vt:lpstr>SF_2_HD!SolverFMEA</vt:lpstr>
      <vt:lpstr>SF_3_CM!SolverFMEA</vt:lpstr>
      <vt:lpstr>SF_1_LD!SolverHFT</vt:lpstr>
      <vt:lpstr>SF_2_HD!SolverHFT</vt:lpstr>
      <vt:lpstr>SF_3_CM!SolverHFT</vt:lpstr>
      <vt:lpstr>SF_1_LD!SolverM</vt:lpstr>
      <vt:lpstr>SF_2_HD!SolverM</vt:lpstr>
      <vt:lpstr>SF_3_CM!SolverM</vt:lpstr>
      <vt:lpstr>SF_1_LD!SolverMRT</vt:lpstr>
      <vt:lpstr>SF_2_HD!SolverMRT</vt:lpstr>
      <vt:lpstr>SF_3_CM!SolverMRT</vt:lpstr>
      <vt:lpstr>SF_1_LD!SolverMTTR</vt:lpstr>
      <vt:lpstr>SF_2_HD!SolverMTTR</vt:lpstr>
      <vt:lpstr>SF_3_CM!SolverMTTR</vt:lpstr>
      <vt:lpstr>SF_1_LD!SolverN</vt:lpstr>
      <vt:lpstr>SF_2_HD!SolverN</vt:lpstr>
      <vt:lpstr>SF_3_CM!SolverN</vt:lpstr>
      <vt:lpstr>SF_1_LD!SolverSC</vt:lpstr>
      <vt:lpstr>SF_2_HD!SolverSC</vt:lpstr>
      <vt:lpstr>SF_3_CM!SolverSC</vt:lpstr>
      <vt:lpstr>SF_1_LD!SolverSILlimit</vt:lpstr>
      <vt:lpstr>SF_2_HD!SolverSILlimit</vt:lpstr>
      <vt:lpstr>SF_3_CM!SolverSILlimit</vt:lpstr>
      <vt:lpstr>SF_1_LD!SolverSuitability</vt:lpstr>
      <vt:lpstr>SF_2_HD!SolverSuitability</vt:lpstr>
      <vt:lpstr>SF_3_CM!SolverSuitability</vt:lpstr>
      <vt:lpstr>SF_1_LD!SolverT1</vt:lpstr>
      <vt:lpstr>SF_2_HD!SolverT1</vt:lpstr>
      <vt:lpstr>SF_3_CM!SolverT1</vt:lpstr>
      <vt:lpstr>SF_1_LD!SolverT2</vt:lpstr>
      <vt:lpstr>SF_2_HD!SolverT2</vt:lpstr>
      <vt:lpstr>SF_3_CM!SolverT2</vt:lpstr>
      <vt:lpstr>SF_1_LD!Staggered</vt:lpstr>
      <vt:lpstr>STmulitipliers</vt:lpstr>
      <vt:lpstr>SF_1_LD!STRbeta</vt:lpstr>
      <vt:lpstr>SF_2_HD!STRbeta</vt:lpstr>
      <vt:lpstr>SF_3_CM!STRbeta</vt:lpstr>
      <vt:lpstr>SF_1_LD!SubSysIndex</vt:lpstr>
      <vt:lpstr>SF_2_HD!SubSysIndex</vt:lpstr>
      <vt:lpstr>SF_3_CM!SubSysIndex</vt:lpstr>
      <vt:lpstr>SF_1_LD!SubSysTable</vt:lpstr>
      <vt:lpstr>SF_2_HD!SubSysTable</vt:lpstr>
      <vt:lpstr>SF_3_CM!SubSysTable</vt:lpstr>
      <vt:lpstr>SF_1_LD!SubsystemPFDavg</vt:lpstr>
      <vt:lpstr>SF_1_LD!SubSystemPFDs</vt:lpstr>
      <vt:lpstr>SF_2_HD!SubSystemPFHs</vt:lpstr>
      <vt:lpstr>SF_3_CM!SubSystemPFHs</vt:lpstr>
      <vt:lpstr>SF_1_LD!SubsystemsSTR</vt:lpstr>
      <vt:lpstr>SF_2_HD!SubsystemsSTR</vt:lpstr>
      <vt:lpstr>SF_3_CM!SubsystemsSTR</vt:lpstr>
      <vt:lpstr>subsystemSTR</vt:lpstr>
      <vt:lpstr>FMEA_1!Suitability</vt:lpstr>
      <vt:lpstr>FMEA_2!Suitability</vt:lpstr>
      <vt:lpstr>FMEA_3!Suitability</vt:lpstr>
      <vt:lpstr>Suitability</vt:lpstr>
      <vt:lpstr>SF_1_LD!T_1</vt:lpstr>
      <vt:lpstr>SF_2_HD!T_1</vt:lpstr>
      <vt:lpstr>SF_3_CM!T_1</vt:lpstr>
      <vt:lpstr>SF_1_LD!T_2</vt:lpstr>
      <vt:lpstr>SF_2_HD!T_2</vt:lpstr>
      <vt:lpstr>SF_3_CM!T_2</vt:lpstr>
      <vt:lpstr>TrueOrFalse</vt:lpstr>
      <vt:lpstr>TypeAHFT</vt:lpstr>
      <vt:lpstr>TypeAorB</vt:lpstr>
      <vt:lpstr>TypeBHFT</vt:lpstr>
      <vt:lpstr>UncertaintyBands</vt:lpstr>
      <vt:lpstr>SF_1_LD!UncertaintyFactor</vt:lpstr>
      <vt:lpstr>SF_2_HD!UncertaintyFactor</vt:lpstr>
      <vt:lpstr>SF_3_CM!UncertaintyFactor</vt:lpstr>
      <vt:lpstr>SF_1_LD!UncertaintyOrder</vt:lpstr>
      <vt:lpstr>SF_2_HD!UncertaintyOrder</vt:lpstr>
      <vt:lpstr>SF_3_CM!UncertaintyOrder</vt:lpstr>
      <vt:lpstr>SF_1_LD!VariablesList</vt:lpstr>
      <vt:lpstr>SF_2_HD!VariablesList</vt:lpstr>
      <vt:lpstr>SF_3_CM!VariablesList</vt:lpstr>
      <vt:lpstr>SF_1_LD!VariableValues</vt:lpstr>
      <vt:lpstr>SF_2_HD!VariableValues</vt:lpstr>
      <vt:lpstr>SF_3_CM!VariableValues</vt:lpstr>
      <vt:lpstr>VersionList</vt:lpstr>
      <vt:lpstr>SF_1_LD!β</vt:lpstr>
      <vt:lpstr>SF_2_HD!β</vt:lpstr>
      <vt:lpstr>SF_3_CM!β</vt:lpstr>
      <vt:lpstr>SF_1_LD!βD</vt:lpstr>
      <vt:lpstr>SF_2_HD!βD</vt:lpstr>
      <vt:lpstr>SF_3_CM!βD</vt:lpstr>
      <vt:lpstr>βmultipliers</vt:lpstr>
      <vt:lpstr>βvalues</vt:lpstr>
      <vt:lpstr>FMEA_1!λ</vt:lpstr>
      <vt:lpstr>FMEA_2!λ</vt:lpstr>
      <vt:lpstr>FMEA_3!λ</vt:lpstr>
      <vt:lpstr>FMEA_1!λD</vt:lpstr>
      <vt:lpstr>FMEA_2!λD</vt:lpstr>
      <vt:lpstr>FMEA_3!λD</vt:lpstr>
      <vt:lpstr>SF_2_HD!λd</vt:lpstr>
      <vt:lpstr>SF_3_CM!λd</vt:lpstr>
      <vt:lpstr>FMEA_1!λD_FITS</vt:lpstr>
      <vt:lpstr>FMEA_2!λD_FITS</vt:lpstr>
      <vt:lpstr>FMEA_3!λD_FITS</vt:lpstr>
      <vt:lpstr>FMEA_1!λDD</vt:lpstr>
      <vt:lpstr>FMEA_2!λDD</vt:lpstr>
      <vt:lpstr>FMEA_3!λDD</vt:lpstr>
      <vt:lpstr>SF_1_LD!λDD</vt:lpstr>
      <vt:lpstr>SF_2_HD!λDD</vt:lpstr>
      <vt:lpstr>SF_3_CM!λDD</vt:lpstr>
      <vt:lpstr>FMEA_1!λDD_FITS</vt:lpstr>
      <vt:lpstr>FMEA_2!λDD_FITS</vt:lpstr>
      <vt:lpstr>FMEA_3!λDD_FITS</vt:lpstr>
      <vt:lpstr>FMEA_1!λDN</vt:lpstr>
      <vt:lpstr>FMEA_2!λDN</vt:lpstr>
      <vt:lpstr>FMEA_3!λDN</vt:lpstr>
      <vt:lpstr>SF_1_LD!λDN</vt:lpstr>
      <vt:lpstr>SF_2_HD!λDN</vt:lpstr>
      <vt:lpstr>SF_3_CM!λDN</vt:lpstr>
      <vt:lpstr>FMEA_1!λDN_FITS</vt:lpstr>
      <vt:lpstr>FMEA_2!λDN_FITS</vt:lpstr>
      <vt:lpstr>FMEA_3!λDN_FITS</vt:lpstr>
      <vt:lpstr>FMEA_1!λDU</vt:lpstr>
      <vt:lpstr>FMEA_2!λDU</vt:lpstr>
      <vt:lpstr>FMEA_3!λDU</vt:lpstr>
      <vt:lpstr>SF_1_LD!λDU</vt:lpstr>
      <vt:lpstr>SF_2_HD!λDU</vt:lpstr>
      <vt:lpstr>SF_3_CM!λDU</vt:lpstr>
      <vt:lpstr>FMEA_1!λDU_FITS</vt:lpstr>
      <vt:lpstr>FMEA_2!λDU_FITS</vt:lpstr>
      <vt:lpstr>FMEA_3!λDU_FITS</vt:lpstr>
      <vt:lpstr>FMEA_1!λSD</vt:lpstr>
      <vt:lpstr>FMEA_2!λSD</vt:lpstr>
      <vt:lpstr>FMEA_3!λSD</vt:lpstr>
      <vt:lpstr>FMEA_1!λSD_FITS</vt:lpstr>
      <vt:lpstr>FMEA_2!λSD_FITS</vt:lpstr>
      <vt:lpstr>FMEA_3!λSD_FITS</vt:lpstr>
      <vt:lpstr>FMEA_1!λSU</vt:lpstr>
      <vt:lpstr>FMEA_2!λSU</vt:lpstr>
      <vt:lpstr>FMEA_3!λSU</vt:lpstr>
      <vt:lpstr>SF_1_LD!λSU</vt:lpstr>
      <vt:lpstr>SF_2_HD!λSU</vt:lpstr>
      <vt:lpstr>SF_3_CM!λSU</vt:lpstr>
      <vt:lpstr>FMEA_1!λSU_FITS</vt:lpstr>
      <vt:lpstr>FMEA_2!λSU_FITS</vt:lpstr>
      <vt:lpstr>FMEA_3!λSU_FITS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Mirek.Generowicz@iesystems.com.au</dc:creator>
  <cp:lastModifiedBy>Tom McCarthy</cp:lastModifiedBy>
  <cp:lastPrinted>2023-05-24T02:48:47Z</cp:lastPrinted>
  <dcterms:created xsi:type="dcterms:W3CDTF">2021-07-19T00:54:51Z</dcterms:created>
  <dcterms:modified xsi:type="dcterms:W3CDTF">2024-07-01T03:35:03Z</dcterms:modified>
</cp:coreProperties>
</file>